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45" windowWidth="15180" windowHeight="11130" firstSheet="4" activeTab="6"/>
  </bookViews>
  <sheets>
    <sheet name="N(0,1)" sheetId="1" r:id="rId1"/>
    <sheet name="t-testy" sheetId="2" r:id="rId2"/>
    <sheet name="dvouvýběr. Wilcox." sheetId="3" r:id="rId3"/>
    <sheet name="párový Wilcoxonův" sheetId="4" r:id="rId4"/>
    <sheet name="regrese" sheetId="5" r:id="rId5"/>
    <sheet name="kojení" sheetId="6" r:id="rId6"/>
    <sheet name="kont. tabulka" sheetId="7" r:id="rId7"/>
    <sheet name="čtyřpolní tabulka" sheetId="8" r:id="rId8"/>
  </sheets>
  <definedNames/>
  <calcPr fullCalcOnLoad="1"/>
  <pivotCaches>
    <pivotCache cacheId="1" r:id="rId9"/>
  </pivotCaches>
</workbook>
</file>

<file path=xl/sharedStrings.xml><?xml version="1.0" encoding="utf-8"?>
<sst xmlns="http://schemas.openxmlformats.org/spreadsheetml/2006/main" count="568" uniqueCount="222">
  <si>
    <t>hoši</t>
  </si>
  <si>
    <t>dívky</t>
  </si>
  <si>
    <r>
      <t>p</t>
    </r>
    <r>
      <rPr>
        <sz val="10"/>
        <rFont val="Arial"/>
        <family val="2"/>
      </rPr>
      <t>=</t>
    </r>
  </si>
  <si>
    <t>dvouvýběrový t-test</t>
  </si>
  <si>
    <t>průměr=</t>
  </si>
  <si>
    <t>sm. odch.=</t>
  </si>
  <si>
    <t>T=</t>
  </si>
  <si>
    <r>
      <t>n</t>
    </r>
    <r>
      <rPr>
        <sz val="10"/>
        <rFont val="Arial"/>
        <family val="2"/>
      </rPr>
      <t>=</t>
    </r>
  </si>
  <si>
    <t>oboustranná alternativa</t>
  </si>
  <si>
    <t>95% interval spolehlivosti</t>
  </si>
  <si>
    <t>krit. hodnota</t>
  </si>
  <si>
    <t>Stř. hodnota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</si>
  <si>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</si>
  <si>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</si>
  <si>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</si>
  <si>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</si>
  <si>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</si>
  <si>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</si>
  <si>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</si>
  <si>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</si>
  <si>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</si>
  <si>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</si>
  <si>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</si>
  <si>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</si>
  <si>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Hladina spolehlivosti (95,0%)</t>
  </si>
  <si>
    <t>Dvouvýběrový t-test s rovností rozptylů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</si>
  <si>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</si>
  <si>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</si>
  <si>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</si>
  <si>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</si>
  <si>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</si>
  <si>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</si>
  <si>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</si>
  <si>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</si>
  <si>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</si>
  <si>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</si>
  <si>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r>
      <t>s</t>
    </r>
    <r>
      <rPr>
        <sz val="10"/>
        <rFont val="Arial"/>
        <family val="0"/>
      </rPr>
      <t>^2=</t>
    </r>
  </si>
  <si>
    <r>
      <t>F</t>
    </r>
    <r>
      <rPr>
        <sz val="10"/>
        <rFont val="Arial"/>
        <family val="2"/>
      </rPr>
      <t>=</t>
    </r>
  </si>
  <si>
    <t>t-test, nestejné rozptyly</t>
  </si>
  <si>
    <t>Dvouvýběrový F-test pro rozptyl</t>
  </si>
  <si>
    <t>F</t>
  </si>
  <si>
    <t>P(F&lt;=f) (1)</t>
  </si>
  <si>
    <t>F krit (1)</t>
  </si>
  <si>
    <r>
      <t>jednovýběrový t-test</t>
    </r>
    <r>
      <rPr>
        <sz val="10"/>
        <rFont val="Arial"/>
        <family val="0"/>
      </rPr>
      <t>, jednostranná alternativa</t>
    </r>
  </si>
  <si>
    <t>společný odhad rozptylu</t>
  </si>
  <si>
    <t>s^2=</t>
  </si>
  <si>
    <t>s=</t>
  </si>
  <si>
    <t>test shody rozptylů</t>
  </si>
  <si>
    <t>potraty 2000</t>
  </si>
  <si>
    <t>potraty 2001</t>
  </si>
  <si>
    <r>
      <t>pokles</t>
    </r>
    <r>
      <rPr>
        <i/>
        <sz val="10"/>
        <rFont val="Arial"/>
        <family val="2"/>
      </rPr>
      <t xml:space="preserve"> Xi</t>
    </r>
  </si>
  <si>
    <r>
      <t xml:space="preserve">pořadí </t>
    </r>
    <r>
      <rPr>
        <i/>
        <sz val="10"/>
        <rFont val="Arial"/>
        <family val="2"/>
      </rPr>
      <t>Ri+</t>
    </r>
  </si>
  <si>
    <t>abs. hodnota</t>
  </si>
  <si>
    <t>W=</t>
  </si>
  <si>
    <t>n=</t>
  </si>
  <si>
    <t>Y=</t>
  </si>
  <si>
    <t>Z=</t>
  </si>
  <si>
    <t>p=</t>
  </si>
  <si>
    <t>(jednostranná alternativa: mu2000&gt;mu2001!)</t>
  </si>
  <si>
    <t>počet desetiletých hochů s výškami od 135 cm do 140 cm včetně</t>
  </si>
  <si>
    <t>přednáška str. 112</t>
  </si>
  <si>
    <t>x</t>
  </si>
  <si>
    <t>z=(x-mu)/sigma</t>
  </si>
  <si>
    <t>Phi(z,0,1)</t>
  </si>
  <si>
    <r>
      <t>Phi(x,mu,sigma</t>
    </r>
    <r>
      <rPr>
        <sz val="10"/>
        <rFont val="Arial"/>
        <family val="2"/>
      </rPr>
      <t>^2</t>
    </r>
    <r>
      <rPr>
        <i/>
        <sz val="10"/>
        <rFont val="Arial"/>
        <family val="2"/>
      </rPr>
      <t>)</t>
    </r>
  </si>
  <si>
    <t>(2. možnost)</t>
  </si>
  <si>
    <t>pozor, v Ecxelu funkce rank() funguje v případě shodných hodnot jinak!"!!</t>
  </si>
  <si>
    <t>kraj</t>
  </si>
  <si>
    <t>potratovost</t>
  </si>
  <si>
    <t>Pha</t>
  </si>
  <si>
    <t>Stč</t>
  </si>
  <si>
    <t>Jč</t>
  </si>
  <si>
    <t>Pl</t>
  </si>
  <si>
    <t>KV</t>
  </si>
  <si>
    <t>Ús</t>
  </si>
  <si>
    <t>Lb</t>
  </si>
  <si>
    <t>HK</t>
  </si>
  <si>
    <t>Par</t>
  </si>
  <si>
    <t>JM</t>
  </si>
  <si>
    <t>Ol</t>
  </si>
  <si>
    <t>Zl</t>
  </si>
  <si>
    <t>MS</t>
  </si>
  <si>
    <t>Čechy</t>
  </si>
  <si>
    <t>ano</t>
  </si>
  <si>
    <t>ne</t>
  </si>
  <si>
    <r>
      <t xml:space="preserve">pořadí </t>
    </r>
    <r>
      <rPr>
        <i/>
        <sz val="10"/>
        <rFont val="Arial"/>
        <family val="2"/>
      </rPr>
      <t>Ri</t>
    </r>
  </si>
  <si>
    <r>
      <t xml:space="preserve">výpočet </t>
    </r>
    <r>
      <rPr>
        <i/>
        <sz val="10"/>
        <rFont val="Arial"/>
        <family val="2"/>
      </rPr>
      <t>W1</t>
    </r>
  </si>
  <si>
    <t>výpočet W2</t>
  </si>
  <si>
    <t>W1=</t>
  </si>
  <si>
    <t>W2=</t>
  </si>
  <si>
    <t>n1=</t>
  </si>
  <si>
    <t>n2=</t>
  </si>
  <si>
    <t>Morava</t>
  </si>
  <si>
    <t>(oboustranná alternativa!)</t>
  </si>
  <si>
    <t>řádek s krajem Vysočina vynechán</t>
  </si>
  <si>
    <t>Xi&gt;0</t>
  </si>
  <si>
    <t>p Yates=</t>
  </si>
  <si>
    <t>Z Yates=</t>
  </si>
  <si>
    <t>State</t>
  </si>
  <si>
    <t>mortality</t>
  </si>
  <si>
    <t>latitude</t>
  </si>
  <si>
    <t>longitude</t>
  </si>
  <si>
    <t>population</t>
  </si>
  <si>
    <t>Ocean</t>
  </si>
  <si>
    <t>Alabama</t>
  </si>
  <si>
    <t>VÝSLEDEK</t>
  </si>
  <si>
    <t>Arizona</t>
  </si>
  <si>
    <t>Arkansas</t>
  </si>
  <si>
    <t>Regresní statistika</t>
  </si>
  <si>
    <t>Californ</t>
  </si>
  <si>
    <t>Násobné R</t>
  </si>
  <si>
    <t>Colorado</t>
  </si>
  <si>
    <t>Hodnota spolehlivosti R</t>
  </si>
  <si>
    <t>Connecti</t>
  </si>
  <si>
    <t>Nastavená hodnota spolehlivosti R</t>
  </si>
  <si>
    <t>Delaware</t>
  </si>
  <si>
    <t>Washingt</t>
  </si>
  <si>
    <t>Florida</t>
  </si>
  <si>
    <t>Georgia</t>
  </si>
  <si>
    <t>ANOVA</t>
  </si>
  <si>
    <t>Idaho</t>
  </si>
  <si>
    <t>SS</t>
  </si>
  <si>
    <t>Významnost F</t>
  </si>
  <si>
    <t>Illinois</t>
  </si>
  <si>
    <t>Regrese</t>
  </si>
  <si>
    <t>Indiana</t>
  </si>
  <si>
    <t>Rezidua</t>
  </si>
  <si>
    <t>Iowa</t>
  </si>
  <si>
    <t>Celkem</t>
  </si>
  <si>
    <t>Kansas</t>
  </si>
  <si>
    <t>Kentucky</t>
  </si>
  <si>
    <t>Koeficienty</t>
  </si>
  <si>
    <t>Hodnota P</t>
  </si>
  <si>
    <t>Dolní 95%</t>
  </si>
  <si>
    <t>Horní 95%</t>
  </si>
  <si>
    <t>Lousiana</t>
  </si>
  <si>
    <t>Hranice</t>
  </si>
  <si>
    <t>Maine</t>
  </si>
  <si>
    <t>Maryland</t>
  </si>
  <si>
    <t>Massachu</t>
  </si>
  <si>
    <t>Michigan</t>
  </si>
  <si>
    <t>Munnesot</t>
  </si>
  <si>
    <t>Mississi</t>
  </si>
  <si>
    <t>Missouri</t>
  </si>
  <si>
    <t>Montana</t>
  </si>
  <si>
    <t>Nebraska</t>
  </si>
  <si>
    <t>Nevada</t>
  </si>
  <si>
    <t>New Hamp</t>
  </si>
  <si>
    <t>New Jers</t>
  </si>
  <si>
    <t>New Mexi</t>
  </si>
  <si>
    <t>New York</t>
  </si>
  <si>
    <t>North Ca</t>
  </si>
  <si>
    <t>North Da</t>
  </si>
  <si>
    <t>Ohio</t>
  </si>
  <si>
    <t>Oklahoma</t>
  </si>
  <si>
    <t>Oregon</t>
  </si>
  <si>
    <t>Pennsylv</t>
  </si>
  <si>
    <t>Rhode Is</t>
  </si>
  <si>
    <t>Dolní 95,0%</t>
  </si>
  <si>
    <t>Horní 95,0%</t>
  </si>
  <si>
    <t>South Ca</t>
  </si>
  <si>
    <t>South Da</t>
  </si>
  <si>
    <t>Tennesee</t>
  </si>
  <si>
    <t>Texas</t>
  </si>
  <si>
    <t>Utah</t>
  </si>
  <si>
    <t>Vermont</t>
  </si>
  <si>
    <t>Virginia</t>
  </si>
  <si>
    <t>West Vir</t>
  </si>
  <si>
    <t>Wisconsi</t>
  </si>
  <si>
    <t>Wyoming</t>
  </si>
  <si>
    <t>koeficient determinace</t>
  </si>
  <si>
    <t>adjustovaný koeficient determinace</t>
  </si>
  <si>
    <t>koeficient mnohonásobné korelace</t>
  </si>
  <si>
    <t>reziduální směrodatná odchylka</t>
  </si>
  <si>
    <t>počet pozorování</t>
  </si>
  <si>
    <t>absolutní člen</t>
  </si>
  <si>
    <t>stupně volnosti</t>
  </si>
  <si>
    <t>střední chyba</t>
  </si>
  <si>
    <t>kojeni</t>
  </si>
  <si>
    <t>poradi</t>
  </si>
  <si>
    <t>vzdelani</t>
  </si>
  <si>
    <t>por_hmot</t>
  </si>
  <si>
    <t>por_delka</t>
  </si>
  <si>
    <t>hmotnost</t>
  </si>
  <si>
    <t>delka</t>
  </si>
  <si>
    <t>vys_matka</t>
  </si>
  <si>
    <t>vys_otec</t>
  </si>
  <si>
    <t>otec</t>
  </si>
  <si>
    <t>vek_matka</t>
  </si>
  <si>
    <t>vek_otec</t>
  </si>
  <si>
    <t>dudlik</t>
  </si>
  <si>
    <t>plan</t>
  </si>
  <si>
    <t>porodnice</t>
  </si>
  <si>
    <t>pohlavi</t>
  </si>
  <si>
    <t>Praha</t>
  </si>
  <si>
    <t>hoch</t>
  </si>
  <si>
    <t>dívka</t>
  </si>
  <si>
    <t>venkov</t>
  </si>
  <si>
    <t>REZIDUA</t>
  </si>
  <si>
    <t>Očekávané vys_otec</t>
  </si>
  <si>
    <t>Diagramy, které pomocí reziduí vyšetřují, nakolik byly splněny předpoklady</t>
  </si>
  <si>
    <t>upravený koeficient determinace</t>
  </si>
  <si>
    <t>Celkový součet</t>
  </si>
  <si>
    <t>očekávané četnosti:</t>
  </si>
  <si>
    <t>chí-kvadrát:</t>
  </si>
  <si>
    <t>Počet z vek_matka</t>
  </si>
  <si>
    <t>kopie četností:</t>
  </si>
  <si>
    <r>
      <t>p</t>
    </r>
    <r>
      <rPr>
        <sz val="10"/>
        <rFont val="Arial"/>
        <family val="2"/>
      </rPr>
      <t>-hodnota:</t>
    </r>
  </si>
  <si>
    <t>úmrtí z vnějších příčin</t>
  </si>
  <si>
    <t>dopr.nehoda</t>
  </si>
  <si>
    <t>sebepoškození</t>
  </si>
  <si>
    <t>muži</t>
  </si>
  <si>
    <t>ženy</t>
  </si>
  <si>
    <t>experimentální četnosti</t>
  </si>
  <si>
    <t>očekávané četnosti při nezávislosti</t>
  </si>
  <si>
    <t>sčítance</t>
  </si>
  <si>
    <t>=chí-kvadrát</t>
  </si>
  <si>
    <r>
      <t>=</t>
    </r>
    <r>
      <rPr>
        <i/>
        <sz val="10"/>
        <rFont val="Arial"/>
        <family val="2"/>
      </rPr>
      <t>p</t>
    </r>
  </si>
  <si>
    <t>jinak:</t>
  </si>
  <si>
    <t>chí-kvadrát=</t>
  </si>
  <si>
    <t>(data)</t>
  </si>
  <si>
    <t>sčítance: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</si>
</sst>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Výchozí diagram doplněný o regresní přímku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kojení!$I$1</c:f>
              <c:strCache>
                <c:ptCount val="1"/>
                <c:pt idx="0">
                  <c:v>vys_otec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kojení!$H$2:$H$100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kojení!$I$2:$I$100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axId val="2843024"/>
        <c:axId val="25587217"/>
      </c:scatterChart>
      <c:valAx>
        <c:axId val="2843024"/>
        <c:scaling>
          <c:orientation val="minMax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výška matky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217"/>
        <c:crosses val="autoZero"/>
        <c:crossBetween val="midCat"/>
        <c:dispUnits/>
        <c:majorUnit val="10"/>
      </c:valAx>
      <c:valAx>
        <c:axId val="25587217"/>
        <c:scaling>
          <c:orientation val="minMax"/>
          <c:max val="20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výška otce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302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vys_matka Graf s rezidui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kojení!$H$2:$H$100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kojení!$T$27:$T$125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axId val="28958362"/>
        <c:axId val="59298667"/>
      </c:scatterChart>
      <c:valAx>
        <c:axId val="28958362"/>
        <c:scaling>
          <c:orientation val="minMax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vys_matka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98667"/>
        <c:crosses val="autoZero"/>
        <c:crossBetween val="midCat"/>
        <c:dispUnits/>
        <c:majorUnit val="10"/>
      </c:valAx>
      <c:valAx>
        <c:axId val="5929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Rezidua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58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vys_matka Graf porovnání hodnot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vys_otec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kojení!$H$2:$H$100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kojení!$I$2:$I$100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Očekávané vys_otec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kojení!$H$2:$H$100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kojení!$S$27:$S$125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axId val="63925956"/>
        <c:axId val="38462693"/>
      </c:scatterChart>
      <c:valAx>
        <c:axId val="63925956"/>
        <c:scaling>
          <c:orientation val="minMax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vys_matka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62693"/>
        <c:crosses val="autoZero"/>
        <c:crossBetween val="midCat"/>
        <c:dispUnits/>
        <c:majorUnit val="10"/>
      </c:valAx>
      <c:valAx>
        <c:axId val="38462693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vys_otec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2595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35</xdr:row>
      <xdr:rowOff>66675</xdr:rowOff>
    </xdr:from>
    <xdr:to>
      <xdr:col>26</xdr:col>
      <xdr:colOff>28575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8096250" y="5800725"/>
        <a:ext cx="69627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523875</xdr:colOff>
      <xdr:row>3</xdr:row>
      <xdr:rowOff>114300</xdr:rowOff>
    </xdr:from>
    <xdr:to>
      <xdr:col>34</xdr:col>
      <xdr:colOff>9525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15554325" y="600075"/>
        <a:ext cx="43624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571500</xdr:colOff>
      <xdr:row>36</xdr:row>
      <xdr:rowOff>28575</xdr:rowOff>
    </xdr:from>
    <xdr:to>
      <xdr:col>34</xdr:col>
      <xdr:colOff>57150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15601950" y="5924550"/>
        <a:ext cx="436245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kojeni">
      <sharedItems containsSemiMixedTypes="0" containsString="0" containsMixedTypes="0" containsNumber="1" containsInteger="1" count="17">
        <n v="18"/>
        <n v="5"/>
        <n v="24"/>
        <n v="14"/>
        <n v="16"/>
        <n v="0"/>
        <n v="19"/>
        <n v="12"/>
        <n v="8"/>
        <n v="6"/>
        <n v="10"/>
        <n v="20"/>
        <n v="1"/>
        <n v="3"/>
        <n v="2"/>
        <n v="4"/>
        <n v="11"/>
      </sharedItems>
    </cacheField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por_hmot">
      <sharedItems containsSemiMixedTypes="0" containsString="0" containsMixedTypes="0" containsNumber="1" containsInteger="1"/>
    </cacheField>
    <cacheField name="por_delka">
      <sharedItems containsSemiMixedTypes="0" containsString="0" containsMixedTypes="0" containsNumber="1" containsInteger="1" count="9">
        <n v="50"/>
        <n v="52"/>
        <n v="53"/>
        <n v="51"/>
        <n v="49"/>
        <n v="48"/>
        <n v="54"/>
        <n v="47"/>
        <n v="46"/>
      </sharedItems>
    </cacheField>
    <cacheField name="hmotnost">
      <sharedItems containsSemiMixedTypes="0" containsString="0" containsMixedTypes="0" containsNumber="1" containsInteger="1"/>
    </cacheField>
    <cacheField name="delka">
      <sharedItems containsSemiMixedTypes="0" containsString="0" containsMixedTypes="0" containsNumber="1" containsInteger="1" count="16">
        <n v="75"/>
        <n v="68"/>
        <n v="64"/>
        <n v="72"/>
        <n v="66"/>
        <n v="69"/>
        <n v="71"/>
        <n v="65"/>
        <n v="62"/>
        <n v="70"/>
        <n v="67"/>
        <n v="76"/>
        <n v="74"/>
        <n v="73"/>
        <n v="78"/>
        <n v="63"/>
      </sharedItems>
    </cacheField>
    <cacheField name="vys_matka">
      <sharedItems containsSemiMixedTypes="0" containsString="0" containsMixedTypes="0" containsNumber="1" containsInteger="1" count="26">
        <n v="160"/>
        <n v="173"/>
        <n v="159"/>
        <n v="168"/>
        <n v="170"/>
        <n v="164"/>
        <n v="174"/>
        <n v="169"/>
        <n v="171"/>
        <n v="172"/>
        <n v="187"/>
        <n v="165"/>
        <n v="167"/>
        <n v="153"/>
        <n v="158"/>
        <n v="178"/>
        <n v="156"/>
        <n v="161"/>
        <n v="163"/>
        <n v="175"/>
        <n v="157"/>
        <n v="162"/>
        <n v="166"/>
        <n v="154"/>
        <n v="180"/>
        <n v="155"/>
      </sharedItems>
    </cacheField>
    <cacheField name="vys_otec">
      <sharedItems containsSemiMixedTypes="0" containsString="0" containsMixedTypes="0" containsNumber="1" containsInteger="1" count="29">
        <n v="180"/>
        <n v="187"/>
        <n v="186"/>
        <n v="177"/>
        <n v="183"/>
        <n v="179"/>
        <n v="195"/>
        <n v="178"/>
        <n v="175"/>
        <n v="173"/>
        <n v="182"/>
        <n v="184"/>
        <n v="181"/>
        <n v="167"/>
        <n v="170"/>
        <n v="185"/>
        <n v="162"/>
        <n v="168"/>
        <n v="194"/>
        <n v="174"/>
        <n v="190"/>
        <n v="172"/>
        <n v="166"/>
        <n v="192"/>
        <n v="176"/>
        <n v="191"/>
        <n v="189"/>
        <n v="193"/>
        <n v="163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vek_matka">
      <sharedItems containsSemiMixedTypes="0" containsString="0" containsMixedTypes="0" containsNumber="1" containsInteger="1" count="20">
        <n v="26"/>
        <n v="35"/>
        <n v="24"/>
        <n v="22"/>
        <n v="28"/>
        <n v="29"/>
        <n v="27"/>
        <n v="21"/>
        <n v="30"/>
        <n v="23"/>
        <n v="25"/>
        <n v="32"/>
        <n v="31"/>
        <n v="33"/>
        <n v="38"/>
        <n v="34"/>
        <n v="20"/>
        <n v="19"/>
        <n v="37"/>
        <n v="18"/>
      </sharedItems>
    </cacheField>
    <cacheField name="vek_otec">
      <sharedItems containsSemiMixedTypes="0" containsString="0" containsMixedTypes="0" containsNumber="1" containsInteger="1" count="23">
        <n v="30"/>
        <n v="38"/>
        <n v="28"/>
        <n v="26"/>
        <n v="29"/>
        <n v="32"/>
        <n v="37"/>
        <n v="23"/>
        <n v="22"/>
        <n v="25"/>
        <n v="24"/>
        <n v="27"/>
        <n v="35"/>
        <n v="34"/>
        <n v="21"/>
        <n v="31"/>
        <n v="36"/>
        <n v="39"/>
        <n v="42"/>
        <n v="20"/>
        <n v="33"/>
        <n v="43"/>
        <n v="19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7" firstHeaderRow="1" firstDataRow="2" firstDataCol="1"/>
  <pivotFields count="16">
    <pivotField compact="0" outline="0" subtotalTop="0" showAll="0" numFmtId="1"/>
    <pivotField compact="0" outline="0" subtotalTop="0" showAll="0" numFmtId="1"/>
    <pivotField axis="axisCol" compact="0" outline="0" subtotalTop="0" showAll="0" numFmtId="1">
      <items count="4">
        <item x="2"/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dataField="1" compact="0" outline="0" subtotalTop="0" showAll="0" numFmtId="1"/>
    <pivotField compact="0" outline="0" subtotalTop="0" showAll="0" numFmtId="1"/>
    <pivotField compact="0" outline="0" subtotalTop="0" showAll="0" numFmtId="1"/>
    <pivotField axis="axisRow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13"/>
  </rowFields>
  <rowItems count="3">
    <i>
      <x/>
    </i>
    <i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Počet z vek_matka" fld="10" subtotal="countNums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3" sqref="D3"/>
    </sheetView>
  </sheetViews>
  <sheetFormatPr defaultColWidth="9.140625" defaultRowHeight="12.75"/>
  <cols>
    <col min="2" max="2" width="14.57421875" style="0" customWidth="1"/>
  </cols>
  <sheetData>
    <row r="1" ht="12.75">
      <c r="A1" t="s">
        <v>59</v>
      </c>
    </row>
    <row r="2" spans="1:4" ht="12.75">
      <c r="A2" t="s">
        <v>60</v>
      </c>
      <c r="D2" t="s">
        <v>65</v>
      </c>
    </row>
    <row r="3" spans="1:4" s="12" customFormat="1" ht="12.75">
      <c r="A3" s="12" t="s">
        <v>61</v>
      </c>
      <c r="B3" s="12" t="s">
        <v>62</v>
      </c>
      <c r="C3" s="12" t="s">
        <v>63</v>
      </c>
      <c r="D3" s="12" t="s">
        <v>64</v>
      </c>
    </row>
    <row r="4" spans="1:4" ht="12.75">
      <c r="A4">
        <v>140.5</v>
      </c>
      <c r="B4">
        <f>(A4-136.1)/6.4</f>
        <v>0.6875000000000009</v>
      </c>
      <c r="C4">
        <f>NORMSDIST(B4)</f>
        <v>0.7541161496197387</v>
      </c>
      <c r="D4">
        <f>NORMDIST(A4,136.1,6.4,1)</f>
        <v>0.7541161496197387</v>
      </c>
    </row>
    <row r="5" spans="1:4" ht="12.75">
      <c r="A5">
        <v>134.5</v>
      </c>
      <c r="B5">
        <f>(A5-136.1)/6.4</f>
        <v>-0.2499999999999991</v>
      </c>
      <c r="C5">
        <f>NORMSDIST(B5)</f>
        <v>0.40129367431707663</v>
      </c>
      <c r="D5">
        <f>NORMDIST(A5,136.1,6.4,1)</f>
        <v>0.40129367431707663</v>
      </c>
    </row>
    <row r="6" spans="3:4" ht="12.75">
      <c r="C6">
        <f>C4-C5</f>
        <v>0.3528224753026621</v>
      </c>
      <c r="D6">
        <f>D4-D5</f>
        <v>0.3528224753026621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G10" sqref="G10"/>
    </sheetView>
  </sheetViews>
  <sheetFormatPr defaultColWidth="9.140625" defaultRowHeight="12.75"/>
  <cols>
    <col min="4" max="4" width="11.140625" style="0" customWidth="1"/>
    <col min="7" max="7" width="12.421875" style="0" customWidth="1"/>
    <col min="8" max="8" width="14.421875" style="0" customWidth="1"/>
    <col min="11" max="11" width="13.140625" style="0" customWidth="1"/>
  </cols>
  <sheetData>
    <row r="1" spans="1:9" ht="12.75">
      <c r="A1" t="s">
        <v>0</v>
      </c>
      <c r="B1" t="s">
        <v>1</v>
      </c>
      <c r="H1" s="7" t="s">
        <v>0</v>
      </c>
      <c r="I1" s="7"/>
    </row>
    <row r="2" spans="1:9" ht="12.75">
      <c r="A2">
        <v>130</v>
      </c>
      <c r="B2">
        <v>135</v>
      </c>
      <c r="E2" t="s">
        <v>0</v>
      </c>
      <c r="F2" t="s">
        <v>1</v>
      </c>
      <c r="H2" s="4"/>
      <c r="I2" s="4"/>
    </row>
    <row r="3" spans="1:9" ht="12.75">
      <c r="A3">
        <v>140</v>
      </c>
      <c r="B3">
        <v>141</v>
      </c>
      <c r="D3" s="2" t="s">
        <v>4</v>
      </c>
      <c r="E3" s="3">
        <f>AVERAGE(A2:A16)</f>
        <v>139.13333333333333</v>
      </c>
      <c r="F3" s="3">
        <f>AVERAGE(B2:B13)</f>
        <v>140.83333333333334</v>
      </c>
      <c r="H3" s="4" t="s">
        <v>11</v>
      </c>
      <c r="I3" s="4">
        <v>139.13333333333333</v>
      </c>
    </row>
    <row r="4" spans="1:9" ht="12.75">
      <c r="A4">
        <v>136</v>
      </c>
      <c r="B4">
        <v>143</v>
      </c>
      <c r="D4" s="2" t="s">
        <v>5</v>
      </c>
      <c r="E4" s="3">
        <f>STDEV(A2:A16)</f>
        <v>6.5559859960918665</v>
      </c>
      <c r="F4" s="3">
        <f>STDEV(B2:B13)</f>
        <v>5.812734192088772</v>
      </c>
      <c r="H4" s="4" t="s">
        <v>12</v>
      </c>
      <c r="I4" s="4">
        <v>1.6927483053888561</v>
      </c>
    </row>
    <row r="5" spans="1:9" ht="12.75">
      <c r="A5">
        <v>141</v>
      </c>
      <c r="B5">
        <v>132</v>
      </c>
      <c r="D5" s="1" t="s">
        <v>7</v>
      </c>
      <c r="E5" s="8">
        <f>COUNT(A2:A16)</f>
        <v>15</v>
      </c>
      <c r="F5">
        <f>COUNT(B2:B13)</f>
        <v>12</v>
      </c>
      <c r="H5" s="4" t="s">
        <v>13</v>
      </c>
      <c r="I5" s="4">
        <v>139</v>
      </c>
    </row>
    <row r="6" spans="1:9" ht="12.75">
      <c r="A6">
        <v>139</v>
      </c>
      <c r="B6">
        <v>146</v>
      </c>
      <c r="E6" s="3"/>
      <c r="H6" s="4" t="s">
        <v>14</v>
      </c>
      <c r="I6" s="4">
        <v>139</v>
      </c>
    </row>
    <row r="7" spans="1:9" ht="12.75">
      <c r="A7">
        <v>133</v>
      </c>
      <c r="B7">
        <v>146</v>
      </c>
      <c r="C7" s="9" t="s">
        <v>43</v>
      </c>
      <c r="E7" s="3"/>
      <c r="H7" s="4" t="s">
        <v>15</v>
      </c>
      <c r="I7" s="4">
        <v>6.5559859960918665</v>
      </c>
    </row>
    <row r="8" spans="1:9" ht="12.75">
      <c r="A8">
        <v>149</v>
      </c>
      <c r="B8">
        <v>151</v>
      </c>
      <c r="D8" s="1" t="s">
        <v>6</v>
      </c>
      <c r="E8" s="3">
        <f>(E3-136.1)/E4*SQRT(E5)</f>
        <v>1.7919576842444498</v>
      </c>
      <c r="H8" s="4" t="s">
        <v>16</v>
      </c>
      <c r="I8" s="4">
        <v>42.98095238095266</v>
      </c>
    </row>
    <row r="9" spans="1:9" ht="12.75">
      <c r="A9">
        <v>151</v>
      </c>
      <c r="B9">
        <v>141</v>
      </c>
      <c r="D9" s="1" t="s">
        <v>2</v>
      </c>
      <c r="E9" s="3">
        <f>TDIST(E8,E5-1,1)</f>
        <v>0.04738574677381374</v>
      </c>
      <c r="H9" s="4" t="s">
        <v>17</v>
      </c>
      <c r="I9" s="4">
        <v>0.005556283704957199</v>
      </c>
    </row>
    <row r="10" spans="1:9" ht="12.75">
      <c r="A10">
        <v>139</v>
      </c>
      <c r="B10">
        <v>141</v>
      </c>
      <c r="E10" s="3"/>
      <c r="H10" s="4" t="s">
        <v>18</v>
      </c>
      <c r="I10" s="4">
        <v>0.08987265055705719</v>
      </c>
    </row>
    <row r="11" spans="1:9" ht="12.75">
      <c r="A11">
        <v>136</v>
      </c>
      <c r="B11">
        <v>131</v>
      </c>
      <c r="C11" t="s">
        <v>9</v>
      </c>
      <c r="E11" s="3"/>
      <c r="H11" s="4" t="s">
        <v>19</v>
      </c>
      <c r="I11" s="4">
        <v>24</v>
      </c>
    </row>
    <row r="12" spans="1:9" ht="12.75">
      <c r="A12">
        <v>138</v>
      </c>
      <c r="B12">
        <v>142</v>
      </c>
      <c r="D12" t="s">
        <v>10</v>
      </c>
      <c r="E12" s="3">
        <f>TINV(0.05,E5-1)</f>
        <v>2.144786681282085</v>
      </c>
      <c r="H12" s="4" t="s">
        <v>20</v>
      </c>
      <c r="I12" s="4">
        <v>127</v>
      </c>
    </row>
    <row r="13" spans="1:9" ht="12.75">
      <c r="A13">
        <v>127</v>
      </c>
      <c r="B13">
        <v>141</v>
      </c>
      <c r="D13" s="3">
        <f>E3-E12*E4/SQRT(E5)</f>
        <v>135.5027493131725</v>
      </c>
      <c r="E13" s="3">
        <f>E3+E12*E4/SQRT(E5)</f>
        <v>142.76391735349415</v>
      </c>
      <c r="H13" s="4" t="s">
        <v>21</v>
      </c>
      <c r="I13" s="4">
        <v>151</v>
      </c>
    </row>
    <row r="14" spans="1:9" ht="12.75">
      <c r="A14">
        <v>139</v>
      </c>
      <c r="D14" s="1" t="s">
        <v>8</v>
      </c>
      <c r="E14" s="3"/>
      <c r="H14" s="4" t="s">
        <v>22</v>
      </c>
      <c r="I14" s="4">
        <v>2087</v>
      </c>
    </row>
    <row r="15" spans="1:9" ht="12.75">
      <c r="A15">
        <v>147</v>
      </c>
      <c r="D15" s="1" t="s">
        <v>2</v>
      </c>
      <c r="E15" s="3">
        <f>TDIST(E8,E5-1,2)</f>
        <v>0.09477149354762748</v>
      </c>
      <c r="H15" s="4" t="s">
        <v>23</v>
      </c>
      <c r="I15" s="4">
        <v>15</v>
      </c>
    </row>
    <row r="16" spans="1:9" ht="13.5" thickBot="1">
      <c r="A16">
        <v>142</v>
      </c>
      <c r="E16" s="3"/>
      <c r="H16" s="5" t="s">
        <v>24</v>
      </c>
      <c r="I16" s="5">
        <v>3.6305840201608377</v>
      </c>
    </row>
    <row r="17" ht="12.75">
      <c r="E17" s="3"/>
    </row>
    <row r="18" spans="3:5" ht="12.75">
      <c r="C18" s="9" t="s">
        <v>3</v>
      </c>
      <c r="E18" s="3"/>
    </row>
    <row r="19" spans="4:11" ht="13.5" thickBot="1">
      <c r="D19" s="1" t="s">
        <v>2</v>
      </c>
      <c r="E19" s="3">
        <f>TTEST(A2:A16,B2:B13,2,2)</f>
        <v>0.48828117889396283</v>
      </c>
      <c r="G19" t="s">
        <v>25</v>
      </c>
      <c r="K19" t="s">
        <v>25</v>
      </c>
    </row>
    <row r="20" spans="3:10" ht="13.5" thickBot="1">
      <c r="C20" t="s">
        <v>44</v>
      </c>
      <c r="E20" s="3"/>
      <c r="J20" s="6"/>
    </row>
    <row r="21" spans="4:13" ht="12.75">
      <c r="D21" s="2" t="s">
        <v>45</v>
      </c>
      <c r="E21" s="3">
        <f>((E5-1)*E4^2+(F5-1)*F4^2)/(E5+F5-2)</f>
        <v>38.93599999999978</v>
      </c>
      <c r="G21" s="6"/>
      <c r="H21" s="6" t="s">
        <v>0</v>
      </c>
      <c r="I21" s="6" t="s">
        <v>1</v>
      </c>
      <c r="J21" s="4"/>
      <c r="K21" s="6"/>
      <c r="L21" s="6" t="s">
        <v>1</v>
      </c>
      <c r="M21" s="6" t="s">
        <v>0</v>
      </c>
    </row>
    <row r="22" spans="4:13" ht="12.75">
      <c r="D22" s="2" t="s">
        <v>46</v>
      </c>
      <c r="E22" s="3">
        <f>SQRT(E21)</f>
        <v>6.239871793554719</v>
      </c>
      <c r="G22" s="4" t="s">
        <v>11</v>
      </c>
      <c r="H22" s="4">
        <v>139.13333333333333</v>
      </c>
      <c r="I22" s="4">
        <v>140.83333333333334</v>
      </c>
      <c r="J22" s="4"/>
      <c r="K22" s="4" t="s">
        <v>11</v>
      </c>
      <c r="L22" s="4">
        <v>140.83333333333334</v>
      </c>
      <c r="M22" s="4">
        <v>139.13333333333333</v>
      </c>
    </row>
    <row r="23" spans="3:13" ht="12.75">
      <c r="C23" t="s">
        <v>47</v>
      </c>
      <c r="E23" s="3"/>
      <c r="G23" s="4" t="s">
        <v>26</v>
      </c>
      <c r="H23" s="4">
        <v>42.98095238095266</v>
      </c>
      <c r="I23" s="4">
        <v>33.78787878787791</v>
      </c>
      <c r="J23" s="4"/>
      <c r="K23" s="4" t="s">
        <v>26</v>
      </c>
      <c r="L23" s="4">
        <v>33.78787878787791</v>
      </c>
      <c r="M23" s="4">
        <v>42.98095238095266</v>
      </c>
    </row>
    <row r="24" spans="4:13" ht="12.75">
      <c r="D24" s="1" t="s">
        <v>37</v>
      </c>
      <c r="E24" s="3">
        <f>FTEST(A2:A16,B2:B13)</f>
        <v>0.6976700315134106</v>
      </c>
      <c r="G24" s="4" t="s">
        <v>27</v>
      </c>
      <c r="H24" s="4">
        <v>15</v>
      </c>
      <c r="I24" s="4">
        <v>12</v>
      </c>
      <c r="J24" s="4"/>
      <c r="K24" s="4" t="s">
        <v>27</v>
      </c>
      <c r="L24" s="4">
        <v>12</v>
      </c>
      <c r="M24" s="4">
        <v>15</v>
      </c>
    </row>
    <row r="25" spans="5:13" ht="12.75">
      <c r="E25" s="3"/>
      <c r="G25" s="4" t="s">
        <v>28</v>
      </c>
      <c r="H25" s="4">
        <v>38.935999999999765</v>
      </c>
      <c r="I25" s="4"/>
      <c r="J25" s="4"/>
      <c r="K25" s="4" t="s">
        <v>28</v>
      </c>
      <c r="L25" s="4">
        <v>38.935999999999765</v>
      </c>
      <c r="M25" s="4"/>
    </row>
    <row r="26" spans="3:13" ht="12.75">
      <c r="C26" t="s">
        <v>38</v>
      </c>
      <c r="E26" s="3"/>
      <c r="G26" s="4" t="s">
        <v>29</v>
      </c>
      <c r="H26" s="4">
        <v>0</v>
      </c>
      <c r="I26" s="4"/>
      <c r="J26" s="4"/>
      <c r="K26" s="4" t="s">
        <v>29</v>
      </c>
      <c r="L26" s="4">
        <v>0</v>
      </c>
      <c r="M26" s="4"/>
    </row>
    <row r="27" spans="4:13" ht="12.75">
      <c r="D27" s="1" t="s">
        <v>2</v>
      </c>
      <c r="E27">
        <f>TTEST(A2:A16,B2:B13,2,3)</f>
        <v>0.4823861179128449</v>
      </c>
      <c r="G27" s="4" t="s">
        <v>30</v>
      </c>
      <c r="H27" s="4">
        <v>25</v>
      </c>
      <c r="I27" s="4"/>
      <c r="J27" s="4"/>
      <c r="K27" s="4" t="s">
        <v>30</v>
      </c>
      <c r="L27" s="4">
        <v>25</v>
      </c>
      <c r="M27" s="4"/>
    </row>
    <row r="28" spans="7:13" ht="12.75">
      <c r="G28" s="4" t="s">
        <v>31</v>
      </c>
      <c r="H28" s="4">
        <v>-0.7034409152822112</v>
      </c>
      <c r="I28" s="4"/>
      <c r="J28" s="4"/>
      <c r="K28" s="4" t="s">
        <v>31</v>
      </c>
      <c r="L28" s="4">
        <v>0.7034409152822112</v>
      </c>
      <c r="M28" s="4"/>
    </row>
    <row r="29" spans="7:13" ht="12.75">
      <c r="G29" s="4" t="s">
        <v>32</v>
      </c>
      <c r="H29" s="4">
        <v>0.2441405894469813</v>
      </c>
      <c r="I29" s="4"/>
      <c r="J29" s="4"/>
      <c r="K29" s="4" t="s">
        <v>32</v>
      </c>
      <c r="L29" s="4">
        <v>0.2441405894469813</v>
      </c>
      <c r="M29" s="4"/>
    </row>
    <row r="30" spans="7:13" ht="12.75">
      <c r="G30" s="4" t="s">
        <v>33</v>
      </c>
      <c r="H30" s="4">
        <v>1.7081407452327646</v>
      </c>
      <c r="I30" s="4"/>
      <c r="J30" s="4"/>
      <c r="K30" s="4" t="s">
        <v>33</v>
      </c>
      <c r="L30" s="4">
        <v>1.7081407452327646</v>
      </c>
      <c r="M30" s="4"/>
    </row>
    <row r="31" spans="7:13" ht="13.5" thickBot="1">
      <c r="G31" s="4" t="s">
        <v>34</v>
      </c>
      <c r="H31" s="4">
        <v>0.4882811788939626</v>
      </c>
      <c r="I31" s="4"/>
      <c r="J31" s="5"/>
      <c r="K31" s="4" t="s">
        <v>34</v>
      </c>
      <c r="L31" s="4">
        <v>0.4882811788939626</v>
      </c>
      <c r="M31" s="4"/>
    </row>
    <row r="32" spans="7:13" ht="13.5" thickBot="1">
      <c r="G32" s="5" t="s">
        <v>35</v>
      </c>
      <c r="H32" s="5">
        <v>2.059538535658591</v>
      </c>
      <c r="I32" s="5"/>
      <c r="K32" s="5" t="s">
        <v>35</v>
      </c>
      <c r="L32" s="5">
        <v>2.059538535658591</v>
      </c>
      <c r="M32" s="5"/>
    </row>
    <row r="35" spans="7:8" ht="12.75">
      <c r="G35" s="1" t="s">
        <v>36</v>
      </c>
      <c r="H35">
        <f>((H24-1)*H23+(I24-1)*I23)/(H24+I24-2)</f>
        <v>38.935999999999765</v>
      </c>
    </row>
    <row r="37" spans="7:11" ht="12.75">
      <c r="G37" t="s">
        <v>39</v>
      </c>
      <c r="K37" t="s">
        <v>39</v>
      </c>
    </row>
    <row r="38" ht="13.5" thickBot="1"/>
    <row r="39" spans="7:13" ht="12.75">
      <c r="G39" s="6"/>
      <c r="H39" s="6" t="s">
        <v>0</v>
      </c>
      <c r="I39" s="6" t="s">
        <v>1</v>
      </c>
      <c r="K39" s="6"/>
      <c r="L39" s="6" t="s">
        <v>1</v>
      </c>
      <c r="M39" s="6" t="s">
        <v>0</v>
      </c>
    </row>
    <row r="40" spans="7:13" ht="12.75">
      <c r="G40" s="4" t="s">
        <v>11</v>
      </c>
      <c r="H40" s="4">
        <v>139.13333333333333</v>
      </c>
      <c r="I40" s="4">
        <v>140.83333333333334</v>
      </c>
      <c r="K40" s="4" t="s">
        <v>11</v>
      </c>
      <c r="L40" s="4">
        <v>140.83333333333334</v>
      </c>
      <c r="M40" s="4">
        <v>139.13333333333333</v>
      </c>
    </row>
    <row r="41" spans="7:13" ht="12.75">
      <c r="G41" s="4" t="s">
        <v>26</v>
      </c>
      <c r="H41" s="4">
        <v>42.98095238095266</v>
      </c>
      <c r="I41" s="4">
        <v>33.78787878787791</v>
      </c>
      <c r="K41" s="4" t="s">
        <v>26</v>
      </c>
      <c r="L41" s="4">
        <v>33.78787878787791</v>
      </c>
      <c r="M41" s="4">
        <v>42.98095238095266</v>
      </c>
    </row>
    <row r="42" spans="7:13" ht="12.75">
      <c r="G42" s="4" t="s">
        <v>27</v>
      </c>
      <c r="H42" s="4">
        <v>15</v>
      </c>
      <c r="I42" s="4">
        <v>12</v>
      </c>
      <c r="K42" s="4" t="s">
        <v>27</v>
      </c>
      <c r="L42" s="4">
        <v>12</v>
      </c>
      <c r="M42" s="4">
        <v>15</v>
      </c>
    </row>
    <row r="43" spans="7:13" ht="12.75">
      <c r="G43" s="4" t="s">
        <v>30</v>
      </c>
      <c r="H43" s="4">
        <v>14</v>
      </c>
      <c r="I43" s="4">
        <v>11</v>
      </c>
      <c r="K43" s="4" t="s">
        <v>30</v>
      </c>
      <c r="L43" s="4">
        <v>11</v>
      </c>
      <c r="M43" s="4">
        <v>14</v>
      </c>
    </row>
    <row r="44" spans="7:13" ht="12.75">
      <c r="G44" s="4" t="s">
        <v>40</v>
      </c>
      <c r="H44" s="4">
        <v>1.2720819987188114</v>
      </c>
      <c r="I44" s="4"/>
      <c r="K44" s="4" t="s">
        <v>40</v>
      </c>
      <c r="L44" s="4">
        <v>0.786112845718404</v>
      </c>
      <c r="M44" s="4"/>
    </row>
    <row r="45" spans="7:13" ht="12.75">
      <c r="G45" s="4" t="s">
        <v>41</v>
      </c>
      <c r="H45" s="4">
        <v>0.34883501575668424</v>
      </c>
      <c r="I45" s="4"/>
      <c r="K45" s="4" t="s">
        <v>41</v>
      </c>
      <c r="L45" s="4">
        <v>0.3488350157566842</v>
      </c>
      <c r="M45" s="4"/>
    </row>
    <row r="46" spans="7:13" ht="13.5" thickBot="1">
      <c r="G46" s="5" t="s">
        <v>42</v>
      </c>
      <c r="H46" s="5">
        <v>2.738648214631822</v>
      </c>
      <c r="I46" s="5"/>
      <c r="K46" s="5" t="s">
        <v>42</v>
      </c>
      <c r="L46" s="5">
        <v>0.3651436481170831</v>
      </c>
      <c r="M46" s="5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H41" sqref="H41"/>
    </sheetView>
  </sheetViews>
  <sheetFormatPr defaultColWidth="9.140625" defaultRowHeight="12.75"/>
  <cols>
    <col min="5" max="5" width="12.00390625" style="0" customWidth="1"/>
    <col min="6" max="6" width="11.28125" style="0" bestFit="1" customWidth="1"/>
    <col min="7" max="7" width="11.28125" style="0" customWidth="1"/>
    <col min="8" max="8" width="11.421875" style="0" bestFit="1" customWidth="1"/>
    <col min="9" max="9" width="10.421875" style="0" customWidth="1"/>
  </cols>
  <sheetData>
    <row r="1" spans="1:9" ht="12.75">
      <c r="A1" t="s">
        <v>67</v>
      </c>
      <c r="B1" t="s">
        <v>68</v>
      </c>
      <c r="C1" t="s">
        <v>82</v>
      </c>
      <c r="D1" t="s">
        <v>85</v>
      </c>
      <c r="E1" s="12" t="s">
        <v>82</v>
      </c>
      <c r="F1" s="12" t="s">
        <v>92</v>
      </c>
      <c r="G1" s="12"/>
      <c r="H1" s="14" t="s">
        <v>86</v>
      </c>
      <c r="I1" s="14" t="s">
        <v>87</v>
      </c>
    </row>
    <row r="2" spans="1:9" ht="12.75">
      <c r="A2" t="s">
        <v>69</v>
      </c>
      <c r="B2" s="10">
        <v>4.03</v>
      </c>
      <c r="C2" t="s">
        <v>83</v>
      </c>
      <c r="D2">
        <f aca="true" t="shared" si="0" ref="D2:D14">RANK(B2,B$2:B$14,1)</f>
        <v>7</v>
      </c>
      <c r="E2">
        <f>(C2="ano")*1</f>
        <v>1</v>
      </c>
      <c r="F2">
        <f>(C2="ne")*1</f>
        <v>0</v>
      </c>
      <c r="H2">
        <f>D2*E2</f>
        <v>7</v>
      </c>
      <c r="I2">
        <f>D2*F2</f>
        <v>0</v>
      </c>
    </row>
    <row r="3" spans="1:9" ht="12.75">
      <c r="A3" t="s">
        <v>70</v>
      </c>
      <c r="B3" s="10">
        <v>4.02</v>
      </c>
      <c r="C3" t="s">
        <v>83</v>
      </c>
      <c r="D3">
        <f t="shared" si="0"/>
        <v>6</v>
      </c>
      <c r="E3">
        <f aca="true" t="shared" si="1" ref="E3:E14">(C3="ano")*1</f>
        <v>1</v>
      </c>
      <c r="F3">
        <f aca="true" t="shared" si="2" ref="F3:F14">(C3="ne")*1</f>
        <v>0</v>
      </c>
      <c r="H3">
        <f aca="true" t="shared" si="3" ref="H3:H14">D3*E3</f>
        <v>6</v>
      </c>
      <c r="I3">
        <f aca="true" t="shared" si="4" ref="I3:I14">D3*F3</f>
        <v>0</v>
      </c>
    </row>
    <row r="4" spans="1:9" ht="12.75">
      <c r="A4" t="s">
        <v>71</v>
      </c>
      <c r="B4" s="10">
        <v>4.11</v>
      </c>
      <c r="C4" t="s">
        <v>83</v>
      </c>
      <c r="D4">
        <f t="shared" si="0"/>
        <v>8</v>
      </c>
      <c r="E4">
        <f t="shared" si="1"/>
        <v>1</v>
      </c>
      <c r="F4">
        <f t="shared" si="2"/>
        <v>0</v>
      </c>
      <c r="H4">
        <f t="shared" si="3"/>
        <v>8</v>
      </c>
      <c r="I4">
        <f t="shared" si="4"/>
        <v>0</v>
      </c>
    </row>
    <row r="5" spans="1:9" ht="12.75">
      <c r="A5" t="s">
        <v>72</v>
      </c>
      <c r="B5" s="10">
        <v>4.7</v>
      </c>
      <c r="C5" t="s">
        <v>83</v>
      </c>
      <c r="D5">
        <f t="shared" si="0"/>
        <v>10</v>
      </c>
      <c r="E5">
        <f t="shared" si="1"/>
        <v>1</v>
      </c>
      <c r="F5">
        <f t="shared" si="2"/>
        <v>0</v>
      </c>
      <c r="H5">
        <f t="shared" si="3"/>
        <v>10</v>
      </c>
      <c r="I5">
        <f t="shared" si="4"/>
        <v>0</v>
      </c>
    </row>
    <row r="6" spans="1:9" ht="12.75">
      <c r="A6" t="s">
        <v>73</v>
      </c>
      <c r="B6" s="10">
        <v>5.65</v>
      </c>
      <c r="C6" t="s">
        <v>83</v>
      </c>
      <c r="D6">
        <f t="shared" si="0"/>
        <v>12</v>
      </c>
      <c r="E6">
        <f t="shared" si="1"/>
        <v>1</v>
      </c>
      <c r="F6">
        <f t="shared" si="2"/>
        <v>0</v>
      </c>
      <c r="H6">
        <f t="shared" si="3"/>
        <v>12</v>
      </c>
      <c r="I6">
        <f t="shared" si="4"/>
        <v>0</v>
      </c>
    </row>
    <row r="7" spans="1:9" ht="12.75">
      <c r="A7" t="s">
        <v>74</v>
      </c>
      <c r="B7" s="10">
        <v>5.8</v>
      </c>
      <c r="C7" t="s">
        <v>83</v>
      </c>
      <c r="D7">
        <f t="shared" si="0"/>
        <v>13</v>
      </c>
      <c r="E7">
        <f t="shared" si="1"/>
        <v>1</v>
      </c>
      <c r="F7">
        <f t="shared" si="2"/>
        <v>0</v>
      </c>
      <c r="H7">
        <f t="shared" si="3"/>
        <v>13</v>
      </c>
      <c r="I7">
        <f t="shared" si="4"/>
        <v>0</v>
      </c>
    </row>
    <row r="8" spans="1:9" ht="12.75">
      <c r="A8" t="s">
        <v>75</v>
      </c>
      <c r="B8" s="10">
        <v>4.98</v>
      </c>
      <c r="C8" t="s">
        <v>83</v>
      </c>
      <c r="D8">
        <f t="shared" si="0"/>
        <v>11</v>
      </c>
      <c r="E8">
        <f t="shared" si="1"/>
        <v>1</v>
      </c>
      <c r="F8">
        <f t="shared" si="2"/>
        <v>0</v>
      </c>
      <c r="H8">
        <f t="shared" si="3"/>
        <v>11</v>
      </c>
      <c r="I8">
        <f t="shared" si="4"/>
        <v>0</v>
      </c>
    </row>
    <row r="9" spans="1:9" ht="12.75">
      <c r="A9" t="s">
        <v>76</v>
      </c>
      <c r="B9" s="10">
        <v>4.33</v>
      </c>
      <c r="C9" t="s">
        <v>83</v>
      </c>
      <c r="D9">
        <f t="shared" si="0"/>
        <v>9</v>
      </c>
      <c r="E9">
        <f t="shared" si="1"/>
        <v>1</v>
      </c>
      <c r="F9">
        <f t="shared" si="2"/>
        <v>0</v>
      </c>
      <c r="H9">
        <f t="shared" si="3"/>
        <v>9</v>
      </c>
      <c r="I9">
        <f t="shared" si="4"/>
        <v>0</v>
      </c>
    </row>
    <row r="10" spans="1:9" ht="12.75">
      <c r="A10" t="s">
        <v>77</v>
      </c>
      <c r="B10" s="10">
        <v>3.38</v>
      </c>
      <c r="C10" t="s">
        <v>83</v>
      </c>
      <c r="D10">
        <f t="shared" si="0"/>
        <v>1</v>
      </c>
      <c r="E10">
        <f t="shared" si="1"/>
        <v>1</v>
      </c>
      <c r="F10">
        <f t="shared" si="2"/>
        <v>0</v>
      </c>
      <c r="H10">
        <f t="shared" si="3"/>
        <v>1</v>
      </c>
      <c r="I10">
        <f t="shared" si="4"/>
        <v>0</v>
      </c>
    </row>
    <row r="11" spans="1:9" ht="12.75">
      <c r="A11" t="s">
        <v>78</v>
      </c>
      <c r="B11" s="10">
        <v>3.7</v>
      </c>
      <c r="C11" t="s">
        <v>84</v>
      </c>
      <c r="D11">
        <f t="shared" si="0"/>
        <v>4</v>
      </c>
      <c r="E11">
        <f t="shared" si="1"/>
        <v>0</v>
      </c>
      <c r="F11">
        <f t="shared" si="2"/>
        <v>1</v>
      </c>
      <c r="H11">
        <f t="shared" si="3"/>
        <v>0</v>
      </c>
      <c r="I11">
        <f t="shared" si="4"/>
        <v>4</v>
      </c>
    </row>
    <row r="12" spans="1:9" ht="12.75">
      <c r="A12" t="s">
        <v>79</v>
      </c>
      <c r="B12" s="10">
        <v>3.65</v>
      </c>
      <c r="C12" t="s">
        <v>84</v>
      </c>
      <c r="D12">
        <f t="shared" si="0"/>
        <v>3</v>
      </c>
      <c r="E12">
        <f t="shared" si="1"/>
        <v>0</v>
      </c>
      <c r="F12">
        <f t="shared" si="2"/>
        <v>1</v>
      </c>
      <c r="H12">
        <f t="shared" si="3"/>
        <v>0</v>
      </c>
      <c r="I12">
        <f t="shared" si="4"/>
        <v>3</v>
      </c>
    </row>
    <row r="13" spans="1:9" ht="12.75">
      <c r="A13" t="s">
        <v>80</v>
      </c>
      <c r="B13" s="10">
        <v>3.42</v>
      </c>
      <c r="C13" t="s">
        <v>84</v>
      </c>
      <c r="D13">
        <f t="shared" si="0"/>
        <v>2</v>
      </c>
      <c r="E13">
        <f t="shared" si="1"/>
        <v>0</v>
      </c>
      <c r="F13">
        <f t="shared" si="2"/>
        <v>1</v>
      </c>
      <c r="H13">
        <f t="shared" si="3"/>
        <v>0</v>
      </c>
      <c r="I13">
        <f t="shared" si="4"/>
        <v>2</v>
      </c>
    </row>
    <row r="14" spans="1:9" ht="12.75">
      <c r="A14" t="s">
        <v>81</v>
      </c>
      <c r="B14" s="10">
        <v>3.87</v>
      </c>
      <c r="C14" t="s">
        <v>84</v>
      </c>
      <c r="D14">
        <f t="shared" si="0"/>
        <v>5</v>
      </c>
      <c r="E14">
        <f t="shared" si="1"/>
        <v>0</v>
      </c>
      <c r="F14">
        <f t="shared" si="2"/>
        <v>1</v>
      </c>
      <c r="H14">
        <f t="shared" si="3"/>
        <v>0</v>
      </c>
      <c r="I14">
        <f t="shared" si="4"/>
        <v>5</v>
      </c>
    </row>
    <row r="15" spans="4:8" ht="12.75">
      <c r="D15" s="1" t="s">
        <v>90</v>
      </c>
      <c r="E15" s="1">
        <f>SUM(E2:E14)</f>
        <v>9</v>
      </c>
      <c r="F15" s="1"/>
      <c r="G15" s="1" t="s">
        <v>88</v>
      </c>
      <c r="H15">
        <f>SUM(H2:H14)</f>
        <v>77</v>
      </c>
    </row>
    <row r="16" spans="4:9" ht="12.75">
      <c r="D16" s="1" t="s">
        <v>91</v>
      </c>
      <c r="E16" s="1"/>
      <c r="F16" s="1">
        <f>SUM(F2:F15)</f>
        <v>4</v>
      </c>
      <c r="G16" s="1" t="s">
        <v>89</v>
      </c>
      <c r="I16">
        <f>SUM(I2:I15)</f>
        <v>14</v>
      </c>
    </row>
    <row r="17" ht="12.75">
      <c r="A17" t="s">
        <v>94</v>
      </c>
    </row>
    <row r="18" spans="5:6" ht="12.75">
      <c r="E18" s="1" t="s">
        <v>56</v>
      </c>
      <c r="F18" s="3">
        <f>(H15-E15*(E15+F16+1)/2)/SQRT(E15*F16*(E15+F16+1)/12)</f>
        <v>2.1602468994692865</v>
      </c>
    </row>
    <row r="19" spans="1:6" ht="12.75">
      <c r="A19" t="s">
        <v>93</v>
      </c>
      <c r="E19" s="1" t="s">
        <v>57</v>
      </c>
      <c r="F19" s="3">
        <f>2*(1-NORMSDIST(F18))</f>
        <v>0.030753561259274642</v>
      </c>
    </row>
    <row r="22" spans="1:8" ht="12.75">
      <c r="A22" s="13" t="s">
        <v>66</v>
      </c>
      <c r="H22" s="2"/>
    </row>
    <row r="23" ht="12.75">
      <c r="B23" s="10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0" sqref="A20:A24"/>
    </sheetView>
  </sheetViews>
  <sheetFormatPr defaultColWidth="9.140625" defaultRowHeight="12.75"/>
  <cols>
    <col min="1" max="1" width="12.140625" style="0" customWidth="1"/>
    <col min="2" max="2" width="11.7109375" style="0" customWidth="1"/>
    <col min="4" max="4" width="12.28125" style="0" customWidth="1"/>
  </cols>
  <sheetData>
    <row r="1" spans="1:8" ht="12.75">
      <c r="A1" t="s">
        <v>48</v>
      </c>
      <c r="B1" t="s">
        <v>49</v>
      </c>
      <c r="C1" t="s">
        <v>50</v>
      </c>
      <c r="D1" t="s">
        <v>52</v>
      </c>
      <c r="E1" t="s">
        <v>51</v>
      </c>
      <c r="H1" s="12" t="s">
        <v>95</v>
      </c>
    </row>
    <row r="2" spans="1:8" ht="12.75">
      <c r="A2" s="10">
        <v>24.7</v>
      </c>
      <c r="B2" s="10">
        <v>23.1</v>
      </c>
      <c r="C2" s="10">
        <f>A2-B2</f>
        <v>1.5999999999999979</v>
      </c>
      <c r="D2">
        <f>ABS(C2)</f>
        <v>1.5999999999999979</v>
      </c>
      <c r="E2">
        <f>RANK(D2,D$2:D$13,1)</f>
        <v>4</v>
      </c>
      <c r="F2">
        <f>E2*(C2&gt;0)</f>
        <v>4</v>
      </c>
      <c r="H2">
        <f aca="true" t="shared" si="0" ref="H2:H13">1*(C2&gt;0)</f>
        <v>1</v>
      </c>
    </row>
    <row r="3" spans="1:8" ht="12.75">
      <c r="A3" s="10">
        <v>25.7</v>
      </c>
      <c r="B3" s="10">
        <v>23.6</v>
      </c>
      <c r="C3" s="10">
        <f aca="true" t="shared" si="1" ref="C3:C13">A3-B3</f>
        <v>2.099999999999998</v>
      </c>
      <c r="D3">
        <f aca="true" t="shared" si="2" ref="D3:D13">ABS(C3)</f>
        <v>2.099999999999998</v>
      </c>
      <c r="E3">
        <f aca="true" t="shared" si="3" ref="E3:E13">RANK(D3,D$2:D$13,1)</f>
        <v>6</v>
      </c>
      <c r="F3">
        <f aca="true" t="shared" si="4" ref="F3:F13">E3*(C3&gt;0)</f>
        <v>6</v>
      </c>
      <c r="H3">
        <f t="shared" si="0"/>
        <v>1</v>
      </c>
    </row>
    <row r="4" spans="1:8" ht="12.75">
      <c r="A4" s="10">
        <v>31.6</v>
      </c>
      <c r="B4" s="10">
        <v>27.9</v>
      </c>
      <c r="C4" s="10">
        <f t="shared" si="1"/>
        <v>3.700000000000003</v>
      </c>
      <c r="D4">
        <f t="shared" si="2"/>
        <v>3.700000000000003</v>
      </c>
      <c r="E4">
        <f t="shared" si="3"/>
        <v>12</v>
      </c>
      <c r="F4">
        <f t="shared" si="4"/>
        <v>12</v>
      </c>
      <c r="H4">
        <f t="shared" si="0"/>
        <v>1</v>
      </c>
    </row>
    <row r="5" spans="1:8" ht="12.75">
      <c r="A5" s="10">
        <v>24.3</v>
      </c>
      <c r="B5" s="10">
        <v>22.2</v>
      </c>
      <c r="C5" s="10">
        <f t="shared" si="1"/>
        <v>2.1000000000000014</v>
      </c>
      <c r="D5">
        <f t="shared" si="2"/>
        <v>2.1000000000000014</v>
      </c>
      <c r="E5">
        <f t="shared" si="3"/>
        <v>7</v>
      </c>
      <c r="F5">
        <f t="shared" si="4"/>
        <v>7</v>
      </c>
      <c r="H5">
        <f t="shared" si="0"/>
        <v>1</v>
      </c>
    </row>
    <row r="6" spans="1:8" ht="12.75">
      <c r="A6" s="10">
        <v>26.8</v>
      </c>
      <c r="B6" s="10">
        <v>23.4</v>
      </c>
      <c r="C6" s="10">
        <f t="shared" si="1"/>
        <v>3.400000000000002</v>
      </c>
      <c r="D6">
        <f t="shared" si="2"/>
        <v>3.400000000000002</v>
      </c>
      <c r="E6">
        <f t="shared" si="3"/>
        <v>11</v>
      </c>
      <c r="F6">
        <f t="shared" si="4"/>
        <v>11</v>
      </c>
      <c r="H6">
        <f t="shared" si="0"/>
        <v>1</v>
      </c>
    </row>
    <row r="7" spans="1:8" ht="12.75">
      <c r="A7" s="10">
        <v>30.6</v>
      </c>
      <c r="B7" s="10">
        <v>27.9</v>
      </c>
      <c r="C7" s="10">
        <f t="shared" si="1"/>
        <v>2.700000000000003</v>
      </c>
      <c r="D7">
        <f t="shared" si="2"/>
        <v>2.700000000000003</v>
      </c>
      <c r="E7">
        <f t="shared" si="3"/>
        <v>10</v>
      </c>
      <c r="F7">
        <f t="shared" si="4"/>
        <v>10</v>
      </c>
      <c r="H7">
        <f t="shared" si="0"/>
        <v>1</v>
      </c>
    </row>
    <row r="8" spans="1:8" ht="12.75">
      <c r="A8" s="10">
        <v>21.1</v>
      </c>
      <c r="B8" s="10">
        <v>21.5</v>
      </c>
      <c r="C8" s="10">
        <f t="shared" si="1"/>
        <v>-0.3999999999999986</v>
      </c>
      <c r="D8">
        <f t="shared" si="2"/>
        <v>0.3999999999999986</v>
      </c>
      <c r="E8">
        <f t="shared" si="3"/>
        <v>1</v>
      </c>
      <c r="F8">
        <f t="shared" si="4"/>
        <v>0</v>
      </c>
      <c r="H8">
        <f t="shared" si="0"/>
        <v>0</v>
      </c>
    </row>
    <row r="9" spans="1:8" ht="12.75">
      <c r="A9" s="10">
        <v>23.5</v>
      </c>
      <c r="B9" s="10">
        <v>26</v>
      </c>
      <c r="C9" s="10">
        <f t="shared" si="1"/>
        <v>-2.5</v>
      </c>
      <c r="D9">
        <f t="shared" si="2"/>
        <v>2.5</v>
      </c>
      <c r="E9">
        <f t="shared" si="3"/>
        <v>8</v>
      </c>
      <c r="F9">
        <f t="shared" si="4"/>
        <v>0</v>
      </c>
      <c r="H9">
        <f t="shared" si="0"/>
        <v>0</v>
      </c>
    </row>
    <row r="10" spans="1:8" ht="12.75">
      <c r="A10" s="10">
        <v>26.9</v>
      </c>
      <c r="B10" s="10">
        <v>24.3</v>
      </c>
      <c r="C10" s="10">
        <f t="shared" si="1"/>
        <v>2.599999999999998</v>
      </c>
      <c r="D10">
        <f t="shared" si="2"/>
        <v>2.599999999999998</v>
      </c>
      <c r="E10">
        <f t="shared" si="3"/>
        <v>9</v>
      </c>
      <c r="F10">
        <f t="shared" si="4"/>
        <v>9</v>
      </c>
      <c r="H10">
        <f t="shared" si="0"/>
        <v>1</v>
      </c>
    </row>
    <row r="11" spans="1:8" ht="12.75">
      <c r="A11" s="10">
        <v>22.5</v>
      </c>
      <c r="B11" s="10">
        <v>23.9</v>
      </c>
      <c r="C11" s="10">
        <f t="shared" si="1"/>
        <v>-1.3999999999999986</v>
      </c>
      <c r="D11">
        <f t="shared" si="2"/>
        <v>1.3999999999999986</v>
      </c>
      <c r="E11">
        <f t="shared" si="3"/>
        <v>3</v>
      </c>
      <c r="F11">
        <f t="shared" si="4"/>
        <v>0</v>
      </c>
      <c r="H11">
        <f t="shared" si="0"/>
        <v>0</v>
      </c>
    </row>
    <row r="12" spans="1:8" ht="12.75">
      <c r="A12" s="10">
        <v>23.1</v>
      </c>
      <c r="B12" s="10">
        <v>21.2</v>
      </c>
      <c r="C12" s="10">
        <f t="shared" si="1"/>
        <v>1.9000000000000021</v>
      </c>
      <c r="D12">
        <f t="shared" si="2"/>
        <v>1.9000000000000021</v>
      </c>
      <c r="E12">
        <f t="shared" si="3"/>
        <v>5</v>
      </c>
      <c r="F12">
        <f t="shared" si="4"/>
        <v>5</v>
      </c>
      <c r="H12">
        <f t="shared" si="0"/>
        <v>1</v>
      </c>
    </row>
    <row r="13" spans="1:8" ht="12.75">
      <c r="A13" s="10">
        <v>24.9</v>
      </c>
      <c r="B13" s="10">
        <v>25.7</v>
      </c>
      <c r="C13" s="10">
        <f t="shared" si="1"/>
        <v>-0.8000000000000007</v>
      </c>
      <c r="D13">
        <f t="shared" si="2"/>
        <v>0.8000000000000007</v>
      </c>
      <c r="E13">
        <f t="shared" si="3"/>
        <v>2</v>
      </c>
      <c r="F13">
        <f t="shared" si="4"/>
        <v>0</v>
      </c>
      <c r="H13">
        <f t="shared" si="0"/>
        <v>0</v>
      </c>
    </row>
    <row r="14" spans="1:8" ht="12.75">
      <c r="A14" s="10"/>
      <c r="B14" s="10"/>
      <c r="E14" s="11" t="s">
        <v>53</v>
      </c>
      <c r="F14">
        <f>SUM(F2:F13)</f>
        <v>64</v>
      </c>
      <c r="G14" s="1" t="s">
        <v>55</v>
      </c>
      <c r="H14">
        <f>SUM(H2:H13)</f>
        <v>8</v>
      </c>
    </row>
    <row r="15" spans="1:8" ht="12.75">
      <c r="A15" s="10"/>
      <c r="B15" s="10"/>
      <c r="E15" s="11" t="s">
        <v>54</v>
      </c>
      <c r="F15">
        <f>COUNT(F2:F13)</f>
        <v>12</v>
      </c>
      <c r="G15" s="1" t="s">
        <v>56</v>
      </c>
      <c r="H15" s="3">
        <f>(2*H14-F15)/SQRT(F15)</f>
        <v>1.1547005383792517</v>
      </c>
    </row>
    <row r="16" spans="1:8" ht="12.75">
      <c r="A16" s="10"/>
      <c r="B16" s="10"/>
      <c r="E16" s="11" t="s">
        <v>56</v>
      </c>
      <c r="F16">
        <f>(F14-F15*(F15+1)/4)/SQRT(F15*(F15+1)*(2*F15+1)/24)</f>
        <v>1.9611613513818402</v>
      </c>
      <c r="G16" s="1" t="s">
        <v>57</v>
      </c>
      <c r="H16" s="3">
        <f>1-NORMSDIST(H15)</f>
        <v>0.12410653949496175</v>
      </c>
    </row>
    <row r="17" spans="1:8" ht="12.75">
      <c r="A17" s="10" t="s">
        <v>58</v>
      </c>
      <c r="E17" s="11" t="s">
        <v>57</v>
      </c>
      <c r="F17">
        <f>1-NORMSDIST(F16)</f>
        <v>0.02493010187845357</v>
      </c>
      <c r="G17" s="1" t="s">
        <v>97</v>
      </c>
      <c r="H17" s="3">
        <f>(ABS(2*H14-F15)-1)/SQRT(F15)</f>
        <v>0.8660254037844387</v>
      </c>
    </row>
    <row r="18" spans="1:8" ht="12.75">
      <c r="A18" s="13" t="s">
        <v>66</v>
      </c>
      <c r="B18" s="10"/>
      <c r="G18" s="1" t="s">
        <v>96</v>
      </c>
      <c r="H18" s="3">
        <f>1-NORMSDIST(H17)</f>
        <v>0.19323811538561642</v>
      </c>
    </row>
    <row r="19" spans="1:2" ht="12.75">
      <c r="A19" s="10"/>
      <c r="B19" s="10"/>
    </row>
    <row r="20" spans="1:2" ht="12.75">
      <c r="A20" s="9"/>
      <c r="B20" s="10"/>
    </row>
    <row r="21" spans="1:2" ht="12.75">
      <c r="A21" s="1"/>
      <c r="B21" s="10"/>
    </row>
    <row r="22" spans="1:2" ht="12.75">
      <c r="A22" s="2"/>
      <c r="B22" s="10"/>
    </row>
    <row r="23" ht="12.75">
      <c r="A23" s="1"/>
    </row>
    <row r="24" ht="12.75">
      <c r="A24" s="1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7">
      <selection activeCell="F63" sqref="F63"/>
    </sheetView>
  </sheetViews>
  <sheetFormatPr defaultColWidth="9.140625" defaultRowHeight="12.75"/>
  <cols>
    <col min="1" max="1" width="20.00390625" style="0" customWidth="1"/>
    <col min="2" max="2" width="9.00390625" style="0" customWidth="1"/>
    <col min="3" max="6" width="8.00390625" style="0" customWidth="1"/>
    <col min="8" max="8" width="18.8515625" style="0" customWidth="1"/>
    <col min="13" max="13" width="12.00390625" style="0" customWidth="1"/>
  </cols>
  <sheetData>
    <row r="1" spans="1:6" ht="12.75">
      <c r="A1" s="15" t="s">
        <v>98</v>
      </c>
      <c r="B1" s="16" t="s">
        <v>102</v>
      </c>
      <c r="C1" s="16" t="s">
        <v>99</v>
      </c>
      <c r="D1" s="16" t="s">
        <v>101</v>
      </c>
      <c r="E1" s="16" t="s">
        <v>100</v>
      </c>
      <c r="F1" s="16" t="s">
        <v>103</v>
      </c>
    </row>
    <row r="2" spans="1:8" ht="12.75">
      <c r="A2" s="15" t="s">
        <v>104</v>
      </c>
      <c r="B2" s="17">
        <v>3.46</v>
      </c>
      <c r="C2" s="17">
        <v>219</v>
      </c>
      <c r="D2" s="17">
        <v>-87</v>
      </c>
      <c r="E2" s="17">
        <v>33</v>
      </c>
      <c r="F2" s="17">
        <v>1</v>
      </c>
      <c r="H2" t="s">
        <v>105</v>
      </c>
    </row>
    <row r="3" spans="1:6" ht="13.5" thickBot="1">
      <c r="A3" s="15" t="s">
        <v>106</v>
      </c>
      <c r="B3" s="17">
        <v>1.61</v>
      </c>
      <c r="C3" s="17">
        <v>160</v>
      </c>
      <c r="D3" s="17">
        <v>-112</v>
      </c>
      <c r="E3" s="17">
        <v>34.5</v>
      </c>
      <c r="F3" s="17">
        <v>0</v>
      </c>
    </row>
    <row r="4" spans="1:9" ht="12.75">
      <c r="A4" s="15" t="s">
        <v>107</v>
      </c>
      <c r="B4" s="17">
        <v>1.96</v>
      </c>
      <c r="C4" s="17">
        <v>170</v>
      </c>
      <c r="D4" s="17">
        <v>-92.5</v>
      </c>
      <c r="E4" s="17">
        <v>35</v>
      </c>
      <c r="F4" s="17">
        <v>0</v>
      </c>
      <c r="H4" s="7" t="s">
        <v>108</v>
      </c>
      <c r="I4" s="7"/>
    </row>
    <row r="5" spans="1:11" ht="12.75">
      <c r="A5" s="15" t="s">
        <v>109</v>
      </c>
      <c r="B5" s="17">
        <v>18.6</v>
      </c>
      <c r="C5" s="17">
        <v>182</v>
      </c>
      <c r="D5" s="17">
        <v>-119.5</v>
      </c>
      <c r="E5" s="17">
        <v>37.5</v>
      </c>
      <c r="F5" s="17">
        <v>1</v>
      </c>
      <c r="H5" s="4" t="s">
        <v>110</v>
      </c>
      <c r="I5" s="4">
        <v>0.8245177937800732</v>
      </c>
      <c r="K5" s="19" t="s">
        <v>172</v>
      </c>
    </row>
    <row r="6" spans="1:11" ht="12.75">
      <c r="A6" s="15" t="s">
        <v>111</v>
      </c>
      <c r="B6" s="17">
        <v>1.97</v>
      </c>
      <c r="C6" s="17">
        <v>149</v>
      </c>
      <c r="D6" s="17">
        <v>-105.5</v>
      </c>
      <c r="E6" s="17">
        <v>39</v>
      </c>
      <c r="F6" s="17">
        <v>0</v>
      </c>
      <c r="H6" s="4" t="s">
        <v>112</v>
      </c>
      <c r="I6" s="4">
        <v>0.6798295922599593</v>
      </c>
      <c r="K6" s="18" t="s">
        <v>170</v>
      </c>
    </row>
    <row r="7" spans="1:11" ht="12.75">
      <c r="A7" s="15" t="s">
        <v>113</v>
      </c>
      <c r="B7" s="17">
        <v>2.83</v>
      </c>
      <c r="C7" s="17">
        <v>159</v>
      </c>
      <c r="D7" s="17">
        <v>-72.8</v>
      </c>
      <c r="E7" s="17">
        <v>41.8</v>
      </c>
      <c r="F7" s="17">
        <v>1</v>
      </c>
      <c r="H7" s="4" t="s">
        <v>114</v>
      </c>
      <c r="I7" s="4">
        <v>0.6730174559250649</v>
      </c>
      <c r="K7" s="19" t="s">
        <v>171</v>
      </c>
    </row>
    <row r="8" spans="1:11" ht="12.75">
      <c r="A8" s="15" t="s">
        <v>115</v>
      </c>
      <c r="B8" s="17">
        <v>0.5</v>
      </c>
      <c r="C8" s="17">
        <v>200</v>
      </c>
      <c r="D8" s="17">
        <v>-75.5</v>
      </c>
      <c r="E8" s="17">
        <v>39</v>
      </c>
      <c r="F8" s="17">
        <v>1</v>
      </c>
      <c r="H8" s="4" t="s">
        <v>12</v>
      </c>
      <c r="I8" s="4">
        <v>19.115029790617957</v>
      </c>
      <c r="K8" s="19" t="s">
        <v>173</v>
      </c>
    </row>
    <row r="9" spans="1:11" ht="13.5" thickBot="1">
      <c r="A9" s="15" t="s">
        <v>116</v>
      </c>
      <c r="B9" s="17">
        <v>0.08</v>
      </c>
      <c r="C9" s="17">
        <v>177</v>
      </c>
      <c r="D9" s="17">
        <v>-77</v>
      </c>
      <c r="E9" s="17">
        <v>39</v>
      </c>
      <c r="F9" s="17">
        <v>0</v>
      </c>
      <c r="H9" s="5" t="s">
        <v>27</v>
      </c>
      <c r="I9" s="5">
        <v>49</v>
      </c>
      <c r="K9" s="18" t="s">
        <v>174</v>
      </c>
    </row>
    <row r="10" spans="1:6" ht="12.75">
      <c r="A10" s="15" t="s">
        <v>117</v>
      </c>
      <c r="B10" s="17">
        <v>5.8</v>
      </c>
      <c r="C10" s="17">
        <v>197</v>
      </c>
      <c r="D10" s="17">
        <v>-82</v>
      </c>
      <c r="E10" s="17">
        <v>28</v>
      </c>
      <c r="F10" s="17">
        <v>1</v>
      </c>
    </row>
    <row r="11" spans="1:9" ht="13.5" thickBot="1">
      <c r="A11" s="15" t="s">
        <v>118</v>
      </c>
      <c r="B11" s="17">
        <v>4.36</v>
      </c>
      <c r="C11" s="17">
        <v>214</v>
      </c>
      <c r="D11" s="17">
        <v>-83.5</v>
      </c>
      <c r="E11" s="17">
        <v>33</v>
      </c>
      <c r="F11" s="17">
        <v>1</v>
      </c>
      <c r="H11" t="s">
        <v>119</v>
      </c>
      <c r="I11" s="19" t="s">
        <v>176</v>
      </c>
    </row>
    <row r="12" spans="1:13" ht="12.75">
      <c r="A12" s="15" t="s">
        <v>120</v>
      </c>
      <c r="B12" s="17">
        <v>0.69</v>
      </c>
      <c r="C12" s="17">
        <v>116</v>
      </c>
      <c r="D12" s="17">
        <v>-114</v>
      </c>
      <c r="E12" s="17">
        <v>44.5</v>
      </c>
      <c r="F12" s="17">
        <v>0</v>
      </c>
      <c r="H12" s="6"/>
      <c r="I12" s="6" t="s">
        <v>30</v>
      </c>
      <c r="J12" s="6" t="s">
        <v>121</v>
      </c>
      <c r="K12" s="6" t="s">
        <v>81</v>
      </c>
      <c r="L12" s="6" t="s">
        <v>40</v>
      </c>
      <c r="M12" s="6" t="s">
        <v>122</v>
      </c>
    </row>
    <row r="13" spans="1:13" ht="12.75">
      <c r="A13" s="15" t="s">
        <v>123</v>
      </c>
      <c r="B13" s="17">
        <v>10.64</v>
      </c>
      <c r="C13" s="17">
        <v>124</v>
      </c>
      <c r="D13" s="17">
        <v>-89.5</v>
      </c>
      <c r="E13" s="17">
        <v>40</v>
      </c>
      <c r="F13" s="17">
        <v>0</v>
      </c>
      <c r="H13" s="4" t="s">
        <v>124</v>
      </c>
      <c r="I13" s="4">
        <v>1</v>
      </c>
      <c r="J13" s="4">
        <v>36464.20020300048</v>
      </c>
      <c r="K13" s="4">
        <v>36464.20020300048</v>
      </c>
      <c r="L13" s="4">
        <v>99.79682713888162</v>
      </c>
      <c r="M13" s="4">
        <v>3.3094561936021086E-13</v>
      </c>
    </row>
    <row r="14" spans="1:13" ht="12.75">
      <c r="A14" s="15" t="s">
        <v>125</v>
      </c>
      <c r="B14" s="17">
        <v>10.64</v>
      </c>
      <c r="C14" s="17">
        <v>128</v>
      </c>
      <c r="D14" s="17">
        <v>-89.5</v>
      </c>
      <c r="E14" s="17">
        <v>40.2</v>
      </c>
      <c r="F14" s="17">
        <v>0</v>
      </c>
      <c r="H14" s="4" t="s">
        <v>126</v>
      </c>
      <c r="I14" s="4">
        <v>47</v>
      </c>
      <c r="J14" s="4">
        <v>17173.06510312196</v>
      </c>
      <c r="K14" s="4">
        <v>365.38436389621194</v>
      </c>
      <c r="L14" s="4"/>
      <c r="M14" s="4"/>
    </row>
    <row r="15" spans="1:13" ht="13.5" thickBot="1">
      <c r="A15" s="15" t="s">
        <v>127</v>
      </c>
      <c r="B15" s="17">
        <v>2.76</v>
      </c>
      <c r="C15" s="17">
        <v>128</v>
      </c>
      <c r="D15" s="17">
        <v>-93.8</v>
      </c>
      <c r="E15" s="17">
        <v>42.2</v>
      </c>
      <c r="F15" s="17">
        <v>0</v>
      </c>
      <c r="H15" s="5" t="s">
        <v>128</v>
      </c>
      <c r="I15" s="5">
        <v>48</v>
      </c>
      <c r="J15" s="5">
        <v>53637.26530612244</v>
      </c>
      <c r="K15" s="5"/>
      <c r="L15" s="5"/>
      <c r="M15" s="5"/>
    </row>
    <row r="16" spans="1:10" ht="13.5" thickBot="1">
      <c r="A16" s="15" t="s">
        <v>129</v>
      </c>
      <c r="B16" s="17">
        <v>2.23</v>
      </c>
      <c r="C16" s="17">
        <v>166</v>
      </c>
      <c r="D16" s="17">
        <v>-98.5</v>
      </c>
      <c r="E16" s="17">
        <v>38.5</v>
      </c>
      <c r="F16" s="17">
        <v>0</v>
      </c>
      <c r="J16" s="19" t="s">
        <v>177</v>
      </c>
    </row>
    <row r="17" spans="1:16" ht="12.75">
      <c r="A17" s="15" t="s">
        <v>130</v>
      </c>
      <c r="B17" s="17">
        <v>3.18</v>
      </c>
      <c r="C17" s="17">
        <v>147</v>
      </c>
      <c r="D17" s="17">
        <v>-85</v>
      </c>
      <c r="E17" s="17">
        <v>37.8</v>
      </c>
      <c r="F17" s="17">
        <v>0</v>
      </c>
      <c r="H17" s="6"/>
      <c r="I17" s="6" t="s">
        <v>131</v>
      </c>
      <c r="J17" s="6" t="s">
        <v>12</v>
      </c>
      <c r="K17" s="6" t="s">
        <v>31</v>
      </c>
      <c r="L17" s="6" t="s">
        <v>132</v>
      </c>
      <c r="M17" s="6" t="s">
        <v>133</v>
      </c>
      <c r="N17" s="6" t="s">
        <v>134</v>
      </c>
      <c r="O17" s="6" t="s">
        <v>158</v>
      </c>
      <c r="P17" s="6" t="s">
        <v>159</v>
      </c>
    </row>
    <row r="18" spans="1:17" ht="12.75">
      <c r="A18" s="15" t="s">
        <v>135</v>
      </c>
      <c r="B18" s="17">
        <v>3.53</v>
      </c>
      <c r="C18" s="17">
        <v>190</v>
      </c>
      <c r="D18" s="17">
        <v>-91.8</v>
      </c>
      <c r="E18" s="17">
        <v>31.2</v>
      </c>
      <c r="F18" s="17">
        <v>1</v>
      </c>
      <c r="H18" s="4" t="s">
        <v>136</v>
      </c>
      <c r="I18" s="4">
        <v>389.1893510306196</v>
      </c>
      <c r="J18" s="4">
        <v>23.812315836183558</v>
      </c>
      <c r="K18" s="4">
        <v>16.344036157929427</v>
      </c>
      <c r="L18" s="4">
        <v>5.123157007507103E-21</v>
      </c>
      <c r="M18" s="4">
        <v>341.28515133797157</v>
      </c>
      <c r="N18" s="4">
        <v>437.09355072326764</v>
      </c>
      <c r="O18" s="4">
        <v>341.28515133797157</v>
      </c>
      <c r="P18" s="4">
        <v>437.09355072326764</v>
      </c>
      <c r="Q18" s="19" t="s">
        <v>175</v>
      </c>
    </row>
    <row r="19" spans="1:16" ht="13.5" thickBot="1">
      <c r="A19" s="15" t="s">
        <v>137</v>
      </c>
      <c r="B19" s="17">
        <v>0.99</v>
      </c>
      <c r="C19" s="17">
        <v>117</v>
      </c>
      <c r="D19" s="17">
        <v>-69</v>
      </c>
      <c r="E19" s="17">
        <v>45.2</v>
      </c>
      <c r="F19" s="17">
        <v>1</v>
      </c>
      <c r="H19" s="5" t="s">
        <v>100</v>
      </c>
      <c r="I19" s="5">
        <v>-5.977635744411936</v>
      </c>
      <c r="J19" s="5">
        <v>0.5983717480094461</v>
      </c>
      <c r="K19" s="5">
        <v>-9.98983619179422</v>
      </c>
      <c r="L19" s="5">
        <v>3.3094561936020707E-13</v>
      </c>
      <c r="M19" s="5">
        <v>-7.181404412032528</v>
      </c>
      <c r="N19" s="5">
        <v>-4.773867076791344</v>
      </c>
      <c r="O19" s="5">
        <v>-7.181404412032528</v>
      </c>
      <c r="P19" s="5">
        <v>-4.773867076791344</v>
      </c>
    </row>
    <row r="20" spans="1:6" ht="12.75">
      <c r="A20" s="15" t="s">
        <v>138</v>
      </c>
      <c r="B20" s="17">
        <v>3.52</v>
      </c>
      <c r="C20" s="17">
        <v>162</v>
      </c>
      <c r="D20" s="17">
        <v>-76.5</v>
      </c>
      <c r="E20" s="17">
        <v>39</v>
      </c>
      <c r="F20" s="17">
        <v>1</v>
      </c>
    </row>
    <row r="21" spans="1:6" ht="12.75">
      <c r="A21" s="15" t="s">
        <v>139</v>
      </c>
      <c r="B21" s="17">
        <v>5.35</v>
      </c>
      <c r="C21" s="17">
        <v>143</v>
      </c>
      <c r="D21" s="17">
        <v>-71.8</v>
      </c>
      <c r="E21" s="17">
        <v>42.2</v>
      </c>
      <c r="F21" s="17">
        <v>1</v>
      </c>
    </row>
    <row r="22" spans="1:8" ht="12.75">
      <c r="A22" s="15" t="s">
        <v>140</v>
      </c>
      <c r="B22" s="17">
        <v>8.22</v>
      </c>
      <c r="C22" s="17">
        <v>117</v>
      </c>
      <c r="D22" s="17">
        <v>-84.5</v>
      </c>
      <c r="E22" s="17">
        <v>43.5</v>
      </c>
      <c r="F22" s="17">
        <v>0</v>
      </c>
      <c r="H22" t="s">
        <v>105</v>
      </c>
    </row>
    <row r="23" spans="1:6" ht="13.5" thickBot="1">
      <c r="A23" s="15" t="s">
        <v>141</v>
      </c>
      <c r="B23" s="17">
        <v>3.55</v>
      </c>
      <c r="C23" s="17">
        <v>116</v>
      </c>
      <c r="D23" s="17">
        <v>-94.5</v>
      </c>
      <c r="E23" s="17">
        <v>46</v>
      </c>
      <c r="F23" s="17">
        <v>0</v>
      </c>
    </row>
    <row r="24" spans="1:9" ht="12.75">
      <c r="A24" s="15" t="s">
        <v>142</v>
      </c>
      <c r="B24" s="17">
        <v>2.32</v>
      </c>
      <c r="C24" s="17">
        <v>207</v>
      </c>
      <c r="D24" s="17">
        <v>-90</v>
      </c>
      <c r="E24" s="17">
        <v>32.8</v>
      </c>
      <c r="F24" s="17">
        <v>1</v>
      </c>
      <c r="H24" s="7" t="s">
        <v>108</v>
      </c>
      <c r="I24" s="7"/>
    </row>
    <row r="25" spans="1:9" ht="12.75">
      <c r="A25" s="15" t="s">
        <v>143</v>
      </c>
      <c r="B25" s="17">
        <v>4.5</v>
      </c>
      <c r="C25" s="17">
        <v>131</v>
      </c>
      <c r="D25" s="17">
        <v>-92</v>
      </c>
      <c r="E25" s="17">
        <v>38.5</v>
      </c>
      <c r="F25" s="17">
        <v>0</v>
      </c>
      <c r="H25" s="4" t="s">
        <v>110</v>
      </c>
      <c r="I25" s="4">
        <v>0.8272870542002283</v>
      </c>
    </row>
    <row r="26" spans="1:9" ht="12.75">
      <c r="A26" s="15" t="s">
        <v>144</v>
      </c>
      <c r="B26" s="17">
        <v>0.71</v>
      </c>
      <c r="C26" s="17">
        <v>109</v>
      </c>
      <c r="D26" s="17">
        <v>-110.5</v>
      </c>
      <c r="E26" s="17">
        <v>47</v>
      </c>
      <c r="F26" s="17">
        <v>0</v>
      </c>
      <c r="H26" s="4" t="s">
        <v>112</v>
      </c>
      <c r="I26" s="4">
        <v>0.6844038700472915</v>
      </c>
    </row>
    <row r="27" spans="1:9" ht="12.75">
      <c r="A27" s="15" t="s">
        <v>145</v>
      </c>
      <c r="B27" s="17">
        <v>1.48</v>
      </c>
      <c r="C27" s="17">
        <v>122</v>
      </c>
      <c r="D27" s="17">
        <v>-99.5</v>
      </c>
      <c r="E27" s="17">
        <v>41.5</v>
      </c>
      <c r="F27" s="17">
        <v>0</v>
      </c>
      <c r="H27" s="4" t="s">
        <v>114</v>
      </c>
      <c r="I27" s="4">
        <v>0.6706822991797824</v>
      </c>
    </row>
    <row r="28" spans="1:9" ht="12.75">
      <c r="A28" s="15" t="s">
        <v>146</v>
      </c>
      <c r="B28" s="17">
        <v>0.44</v>
      </c>
      <c r="C28" s="17">
        <v>191</v>
      </c>
      <c r="D28" s="17">
        <v>-117</v>
      </c>
      <c r="E28" s="17">
        <v>39</v>
      </c>
      <c r="F28" s="17">
        <v>0</v>
      </c>
      <c r="H28" s="4" t="s">
        <v>12</v>
      </c>
      <c r="I28" s="4">
        <v>19.183163673353572</v>
      </c>
    </row>
    <row r="29" spans="1:9" ht="13.5" thickBot="1">
      <c r="A29" s="15" t="s">
        <v>147</v>
      </c>
      <c r="B29" s="17">
        <v>0.67</v>
      </c>
      <c r="C29" s="17">
        <v>129</v>
      </c>
      <c r="D29" s="17">
        <v>-71.5</v>
      </c>
      <c r="E29" s="17">
        <v>43.8</v>
      </c>
      <c r="F29" s="17">
        <v>1</v>
      </c>
      <c r="H29" s="5" t="s">
        <v>27</v>
      </c>
      <c r="I29" s="5">
        <v>49</v>
      </c>
    </row>
    <row r="30" spans="1:6" ht="12.75">
      <c r="A30" s="15" t="s">
        <v>148</v>
      </c>
      <c r="B30" s="17">
        <v>6.77</v>
      </c>
      <c r="C30" s="17">
        <v>159</v>
      </c>
      <c r="D30" s="17">
        <v>-74.5</v>
      </c>
      <c r="E30" s="17">
        <v>40.2</v>
      </c>
      <c r="F30" s="17">
        <v>1</v>
      </c>
    </row>
    <row r="31" spans="1:8" ht="13.5" thickBot="1">
      <c r="A31" s="15" t="s">
        <v>149</v>
      </c>
      <c r="B31" s="17">
        <v>1.03</v>
      </c>
      <c r="C31" s="17">
        <v>141</v>
      </c>
      <c r="D31" s="17">
        <v>-106</v>
      </c>
      <c r="E31" s="17">
        <v>35</v>
      </c>
      <c r="F31" s="17">
        <v>0</v>
      </c>
      <c r="H31" t="s">
        <v>119</v>
      </c>
    </row>
    <row r="32" spans="1:13" ht="12.75">
      <c r="A32" s="15" t="s">
        <v>150</v>
      </c>
      <c r="B32" s="17">
        <v>18.07</v>
      </c>
      <c r="C32" s="17">
        <v>152</v>
      </c>
      <c r="D32" s="17">
        <v>-75.5</v>
      </c>
      <c r="E32" s="17">
        <v>43</v>
      </c>
      <c r="F32" s="17">
        <v>1</v>
      </c>
      <c r="H32" s="6"/>
      <c r="I32" s="6" t="s">
        <v>30</v>
      </c>
      <c r="J32" s="6" t="s">
        <v>121</v>
      </c>
      <c r="K32" s="6" t="s">
        <v>81</v>
      </c>
      <c r="L32" s="6" t="s">
        <v>40</v>
      </c>
      <c r="M32" s="6" t="s">
        <v>122</v>
      </c>
    </row>
    <row r="33" spans="1:13" ht="12.75">
      <c r="A33" s="15" t="s">
        <v>151</v>
      </c>
      <c r="B33" s="17">
        <v>7.91</v>
      </c>
      <c r="C33" s="17">
        <v>199</v>
      </c>
      <c r="D33" s="17">
        <v>-79.5</v>
      </c>
      <c r="E33" s="17">
        <v>35.5</v>
      </c>
      <c r="F33" s="17">
        <v>1</v>
      </c>
      <c r="H33" s="4" t="s">
        <v>124</v>
      </c>
      <c r="I33" s="4">
        <v>2</v>
      </c>
      <c r="J33" s="4">
        <v>36709.55195426352</v>
      </c>
      <c r="K33" s="4">
        <v>18354.77597713176</v>
      </c>
      <c r="L33" s="4">
        <v>49.87795323550549</v>
      </c>
      <c r="M33" s="4">
        <v>3.020149116028549E-12</v>
      </c>
    </row>
    <row r="34" spans="1:13" ht="12.75">
      <c r="A34" s="15" t="s">
        <v>152</v>
      </c>
      <c r="B34" s="17">
        <v>0.65</v>
      </c>
      <c r="C34" s="17">
        <v>115</v>
      </c>
      <c r="D34" s="17">
        <v>-100.5</v>
      </c>
      <c r="E34" s="17">
        <v>47.5</v>
      </c>
      <c r="F34" s="17">
        <v>0</v>
      </c>
      <c r="H34" s="4" t="s">
        <v>126</v>
      </c>
      <c r="I34" s="4">
        <v>46</v>
      </c>
      <c r="J34" s="4">
        <v>16927.713351858918</v>
      </c>
      <c r="K34" s="4">
        <v>367.99376851867214</v>
      </c>
      <c r="L34" s="4"/>
      <c r="M34" s="4"/>
    </row>
    <row r="35" spans="1:13" ht="13.5" thickBot="1">
      <c r="A35" s="15" t="s">
        <v>153</v>
      </c>
      <c r="B35" s="17">
        <v>10.24</v>
      </c>
      <c r="C35" s="17">
        <v>131</v>
      </c>
      <c r="D35" s="17">
        <v>-82.5</v>
      </c>
      <c r="E35" s="17">
        <v>40.2</v>
      </c>
      <c r="F35" s="17">
        <v>0</v>
      </c>
      <c r="H35" s="5" t="s">
        <v>128</v>
      </c>
      <c r="I35" s="5">
        <v>48</v>
      </c>
      <c r="J35" s="5">
        <v>53637.26530612244</v>
      </c>
      <c r="K35" s="5"/>
      <c r="L35" s="5"/>
      <c r="M35" s="5"/>
    </row>
    <row r="36" spans="1:6" ht="13.5" thickBot="1">
      <c r="A36" s="15" t="s">
        <v>154</v>
      </c>
      <c r="B36" s="17">
        <v>2.48</v>
      </c>
      <c r="C36" s="17">
        <v>182</v>
      </c>
      <c r="D36" s="17">
        <v>-97.2</v>
      </c>
      <c r="E36" s="17">
        <v>35.5</v>
      </c>
      <c r="F36" s="17">
        <v>0</v>
      </c>
    </row>
    <row r="37" spans="1:16" ht="12.75">
      <c r="A37" s="15" t="s">
        <v>155</v>
      </c>
      <c r="B37" s="17">
        <v>1.9</v>
      </c>
      <c r="C37" s="17">
        <v>136</v>
      </c>
      <c r="D37" s="17">
        <v>-120.5</v>
      </c>
      <c r="E37" s="17">
        <v>44</v>
      </c>
      <c r="F37" s="17">
        <v>1</v>
      </c>
      <c r="H37" s="6"/>
      <c r="I37" s="6" t="s">
        <v>131</v>
      </c>
      <c r="J37" s="6" t="s">
        <v>12</v>
      </c>
      <c r="K37" s="6" t="s">
        <v>31</v>
      </c>
      <c r="L37" s="6" t="s">
        <v>132</v>
      </c>
      <c r="M37" s="6" t="s">
        <v>133</v>
      </c>
      <c r="N37" s="6" t="s">
        <v>134</v>
      </c>
      <c r="O37" s="6" t="s">
        <v>158</v>
      </c>
      <c r="P37" s="6" t="s">
        <v>159</v>
      </c>
    </row>
    <row r="38" spans="1:16" ht="12.75">
      <c r="A38" s="15" t="s">
        <v>156</v>
      </c>
      <c r="B38" s="17">
        <v>11.52</v>
      </c>
      <c r="C38" s="17">
        <v>132</v>
      </c>
      <c r="D38" s="17">
        <v>-77.8</v>
      </c>
      <c r="E38" s="17">
        <v>40.8</v>
      </c>
      <c r="F38" s="17">
        <v>0</v>
      </c>
      <c r="H38" s="4" t="s">
        <v>136</v>
      </c>
      <c r="I38" s="4">
        <v>401.1661769386865</v>
      </c>
      <c r="J38" s="4">
        <v>28.039660596222184</v>
      </c>
      <c r="K38" s="4">
        <v>14.307098174816568</v>
      </c>
      <c r="L38" s="4">
        <v>1.4906187449834283E-18</v>
      </c>
      <c r="M38" s="4">
        <v>344.7252684153515</v>
      </c>
      <c r="N38" s="4">
        <v>457.6070854620215</v>
      </c>
      <c r="O38" s="4">
        <v>344.7252684153515</v>
      </c>
      <c r="P38" s="4">
        <v>457.6070854620215</v>
      </c>
    </row>
    <row r="39" spans="1:16" ht="12.75">
      <c r="A39" s="15" t="s">
        <v>157</v>
      </c>
      <c r="B39" s="17">
        <v>0.92</v>
      </c>
      <c r="C39" s="17">
        <v>137</v>
      </c>
      <c r="D39" s="17">
        <v>-71.5</v>
      </c>
      <c r="E39" s="17">
        <v>41.8</v>
      </c>
      <c r="F39" s="17">
        <v>1</v>
      </c>
      <c r="H39" s="4" t="s">
        <v>101</v>
      </c>
      <c r="I39" s="4">
        <v>0.1529509600238672</v>
      </c>
      <c r="J39" s="4">
        <v>0.1873172867160701</v>
      </c>
      <c r="K39" s="4">
        <v>0.8165341421782693</v>
      </c>
      <c r="L39" s="4">
        <v>0.41840336023394187</v>
      </c>
      <c r="M39" s="4">
        <v>-0.22409917608960117</v>
      </c>
      <c r="N39" s="4">
        <v>0.5300010961373356</v>
      </c>
      <c r="O39" s="4">
        <v>-0.22409917608960117</v>
      </c>
      <c r="P39" s="4">
        <v>0.5300010961373356</v>
      </c>
    </row>
    <row r="40" spans="1:16" ht="13.5" thickBot="1">
      <c r="A40" s="15" t="s">
        <v>160</v>
      </c>
      <c r="B40" s="17">
        <v>2.54</v>
      </c>
      <c r="C40" s="17">
        <v>178</v>
      </c>
      <c r="D40" s="17">
        <v>-81</v>
      </c>
      <c r="E40" s="17">
        <v>33.8</v>
      </c>
      <c r="F40" s="17">
        <v>1</v>
      </c>
      <c r="H40" s="5" t="s">
        <v>100</v>
      </c>
      <c r="I40" s="5">
        <v>-5.928526991040843</v>
      </c>
      <c r="J40" s="5">
        <v>0.6035088545964091</v>
      </c>
      <c r="K40" s="5">
        <v>-9.823430005853833</v>
      </c>
      <c r="L40" s="5">
        <v>7.15045257366744E-13</v>
      </c>
      <c r="M40" s="5">
        <v>-7.143327289297232</v>
      </c>
      <c r="N40" s="5">
        <v>-4.713726692784454</v>
      </c>
      <c r="O40" s="5">
        <v>-7.143327289297232</v>
      </c>
      <c r="P40" s="5">
        <v>-4.713726692784454</v>
      </c>
    </row>
    <row r="41" spans="1:6" ht="12.75">
      <c r="A41" s="15" t="s">
        <v>161</v>
      </c>
      <c r="B41" s="17">
        <v>0.7</v>
      </c>
      <c r="C41" s="17">
        <v>86</v>
      </c>
      <c r="D41" s="17">
        <v>-100</v>
      </c>
      <c r="E41" s="17">
        <v>44.8</v>
      </c>
      <c r="F41" s="17">
        <v>0</v>
      </c>
    </row>
    <row r="42" spans="1:6" ht="12.75">
      <c r="A42" s="15" t="s">
        <v>162</v>
      </c>
      <c r="B42" s="17">
        <v>3.84</v>
      </c>
      <c r="C42" s="17">
        <v>186</v>
      </c>
      <c r="D42" s="17">
        <v>-86.2</v>
      </c>
      <c r="E42" s="17">
        <v>36</v>
      </c>
      <c r="F42" s="17">
        <v>0</v>
      </c>
    </row>
    <row r="43" spans="1:8" ht="12.75">
      <c r="A43" s="15" t="s">
        <v>163</v>
      </c>
      <c r="B43" s="17">
        <v>10.55</v>
      </c>
      <c r="C43" s="17">
        <v>229</v>
      </c>
      <c r="D43" s="17">
        <v>-98</v>
      </c>
      <c r="E43" s="17">
        <v>31.5</v>
      </c>
      <c r="F43" s="17">
        <v>1</v>
      </c>
      <c r="H43" t="s">
        <v>105</v>
      </c>
    </row>
    <row r="44" spans="1:6" ht="13.5" thickBot="1">
      <c r="A44" s="15" t="s">
        <v>164</v>
      </c>
      <c r="B44" s="17">
        <v>0.99</v>
      </c>
      <c r="C44" s="17">
        <v>142</v>
      </c>
      <c r="D44" s="17">
        <v>-111.5</v>
      </c>
      <c r="E44" s="17">
        <v>39.5</v>
      </c>
      <c r="F44" s="17">
        <v>0</v>
      </c>
    </row>
    <row r="45" spans="1:9" ht="12.75">
      <c r="A45" s="15" t="s">
        <v>165</v>
      </c>
      <c r="B45" s="17">
        <v>0.4</v>
      </c>
      <c r="C45" s="17">
        <v>153</v>
      </c>
      <c r="D45" s="17">
        <v>-72.5</v>
      </c>
      <c r="E45" s="17">
        <v>44</v>
      </c>
      <c r="F45" s="17">
        <v>1</v>
      </c>
      <c r="H45" s="7" t="s">
        <v>108</v>
      </c>
      <c r="I45" s="7"/>
    </row>
    <row r="46" spans="1:9" ht="12.75">
      <c r="A46" s="15" t="s">
        <v>166</v>
      </c>
      <c r="B46" s="17">
        <v>4.46</v>
      </c>
      <c r="C46" s="17">
        <v>166</v>
      </c>
      <c r="D46" s="17">
        <v>-78.5</v>
      </c>
      <c r="E46" s="17">
        <v>37.5</v>
      </c>
      <c r="F46" s="17">
        <v>1</v>
      </c>
      <c r="H46" s="4" t="s">
        <v>110</v>
      </c>
      <c r="I46" s="4">
        <v>0.8772793720754323</v>
      </c>
    </row>
    <row r="47" spans="1:9" ht="12.75">
      <c r="A47" s="15" t="s">
        <v>116</v>
      </c>
      <c r="B47" s="17">
        <v>2.99</v>
      </c>
      <c r="C47" s="17">
        <v>117</v>
      </c>
      <c r="D47" s="17">
        <v>-121</v>
      </c>
      <c r="E47" s="17">
        <v>47.5</v>
      </c>
      <c r="F47" s="17">
        <v>1</v>
      </c>
      <c r="H47" s="4" t="s">
        <v>112</v>
      </c>
      <c r="I47" s="4">
        <v>0.7696190966690647</v>
      </c>
    </row>
    <row r="48" spans="1:9" ht="12.75">
      <c r="A48" s="15" t="s">
        <v>167</v>
      </c>
      <c r="B48" s="17">
        <v>1.81</v>
      </c>
      <c r="C48" s="17">
        <v>136</v>
      </c>
      <c r="D48" s="17">
        <v>-80.8</v>
      </c>
      <c r="E48" s="17">
        <v>38.8</v>
      </c>
      <c r="F48" s="17">
        <v>0</v>
      </c>
      <c r="H48" s="4" t="s">
        <v>114</v>
      </c>
      <c r="I48" s="4">
        <v>0.7596025356546762</v>
      </c>
    </row>
    <row r="49" spans="1:9" ht="12.75">
      <c r="A49" s="15" t="s">
        <v>168</v>
      </c>
      <c r="B49" s="17">
        <v>4.14</v>
      </c>
      <c r="C49" s="17">
        <v>110</v>
      </c>
      <c r="D49" s="17">
        <v>-90.2</v>
      </c>
      <c r="E49" s="17">
        <v>44.5</v>
      </c>
      <c r="F49" s="17">
        <v>0</v>
      </c>
      <c r="H49" s="4" t="s">
        <v>12</v>
      </c>
      <c r="I49" s="4">
        <v>16.389950283385833</v>
      </c>
    </row>
    <row r="50" spans="1:9" ht="13.5" thickBot="1">
      <c r="A50" s="15" t="s">
        <v>169</v>
      </c>
      <c r="B50" s="17">
        <v>0.34</v>
      </c>
      <c r="C50" s="17">
        <v>134</v>
      </c>
      <c r="D50" s="17">
        <v>-107.5</v>
      </c>
      <c r="E50" s="17">
        <v>43</v>
      </c>
      <c r="F50" s="17">
        <v>0</v>
      </c>
      <c r="H50" s="5" t="s">
        <v>27</v>
      </c>
      <c r="I50" s="5">
        <v>49</v>
      </c>
    </row>
    <row r="52" ht="13.5" thickBot="1">
      <c r="H52" t="s">
        <v>119</v>
      </c>
    </row>
    <row r="53" spans="8:13" ht="12.75">
      <c r="H53" s="6"/>
      <c r="I53" s="6" t="s">
        <v>30</v>
      </c>
      <c r="J53" s="6" t="s">
        <v>121</v>
      </c>
      <c r="K53" s="6" t="s">
        <v>81</v>
      </c>
      <c r="L53" s="6" t="s">
        <v>40</v>
      </c>
      <c r="M53" s="6" t="s">
        <v>122</v>
      </c>
    </row>
    <row r="54" spans="8:13" ht="12.75">
      <c r="H54" s="4" t="s">
        <v>124</v>
      </c>
      <c r="I54" s="4">
        <v>2</v>
      </c>
      <c r="J54" s="4">
        <v>41280.263672696914</v>
      </c>
      <c r="K54" s="4">
        <v>20640.131836348457</v>
      </c>
      <c r="L54" s="4">
        <v>76.83466366984932</v>
      </c>
      <c r="M54" s="4">
        <v>2.169047022042794E-15</v>
      </c>
    </row>
    <row r="55" spans="8:13" ht="12.75">
      <c r="H55" s="4" t="s">
        <v>126</v>
      </c>
      <c r="I55" s="4">
        <v>46</v>
      </c>
      <c r="J55" s="4">
        <v>12357.001633425527</v>
      </c>
      <c r="K55" s="4">
        <v>268.6304702918593</v>
      </c>
      <c r="L55" s="4"/>
      <c r="M55" s="4"/>
    </row>
    <row r="56" spans="8:13" ht="13.5" thickBot="1">
      <c r="H56" s="5" t="s">
        <v>128</v>
      </c>
      <c r="I56" s="5">
        <v>48</v>
      </c>
      <c r="J56" s="5">
        <v>53637.26530612244</v>
      </c>
      <c r="K56" s="5"/>
      <c r="L56" s="5"/>
      <c r="M56" s="5"/>
    </row>
    <row r="57" ht="13.5" thickBot="1"/>
    <row r="58" spans="8:16" ht="12.75">
      <c r="H58" s="6"/>
      <c r="I58" s="6" t="s">
        <v>131</v>
      </c>
      <c r="J58" s="6" t="s">
        <v>12</v>
      </c>
      <c r="K58" s="6" t="s">
        <v>31</v>
      </c>
      <c r="L58" s="6" t="s">
        <v>132</v>
      </c>
      <c r="M58" s="6" t="s">
        <v>133</v>
      </c>
      <c r="N58" s="6" t="s">
        <v>134</v>
      </c>
      <c r="O58" s="6" t="s">
        <v>158</v>
      </c>
      <c r="P58" s="6" t="s">
        <v>159</v>
      </c>
    </row>
    <row r="59" spans="8:16" ht="12.75">
      <c r="H59" s="4" t="s">
        <v>136</v>
      </c>
      <c r="I59" s="4">
        <v>360.6904738105685</v>
      </c>
      <c r="J59" s="4">
        <v>21.49836613166562</v>
      </c>
      <c r="K59" s="4">
        <v>16.777576100506362</v>
      </c>
      <c r="L59" s="4">
        <v>3.115781052570955E-21</v>
      </c>
      <c r="M59" s="4">
        <v>317.41650791948405</v>
      </c>
      <c r="N59" s="4">
        <v>403.96443970165296</v>
      </c>
      <c r="O59" s="4">
        <v>317.41650791948405</v>
      </c>
      <c r="P59" s="4">
        <v>403.96443970165296</v>
      </c>
    </row>
    <row r="60" spans="8:16" ht="12.75">
      <c r="H60" s="4" t="s">
        <v>100</v>
      </c>
      <c r="I60" s="4">
        <v>-5.488773395205487</v>
      </c>
      <c r="J60" s="4">
        <v>0.5258968679026318</v>
      </c>
      <c r="K60" s="4">
        <v>-10.43697677283318</v>
      </c>
      <c r="L60" s="4">
        <v>1.0262021128124589E-13</v>
      </c>
      <c r="M60" s="4">
        <v>-6.547348869474956</v>
      </c>
      <c r="N60" s="4">
        <v>-4.430197920936018</v>
      </c>
      <c r="O60" s="4">
        <v>-6.547348869474956</v>
      </c>
      <c r="P60" s="4">
        <v>-4.430197920936018</v>
      </c>
    </row>
    <row r="61" spans="8:16" ht="13.5" thickBot="1">
      <c r="H61" s="5" t="s">
        <v>103</v>
      </c>
      <c r="I61" s="5">
        <v>20.430442142485916</v>
      </c>
      <c r="J61" s="5">
        <v>4.8251331338030745</v>
      </c>
      <c r="K61" s="5">
        <v>4.2341716955658475</v>
      </c>
      <c r="L61" s="5">
        <v>0.00010863711295154277</v>
      </c>
      <c r="M61" s="5">
        <v>10.717953045717598</v>
      </c>
      <c r="N61" s="5">
        <v>30.14293123925423</v>
      </c>
      <c r="O61" s="5">
        <v>10.717953045717598</v>
      </c>
      <c r="P61" s="5">
        <v>30.14293123925423</v>
      </c>
    </row>
    <row r="66" spans="8:9" ht="12.75">
      <c r="H66" s="4"/>
      <c r="I66" s="4"/>
    </row>
    <row r="67" spans="8:9" ht="12.75">
      <c r="H67" s="4"/>
      <c r="I67" s="4"/>
    </row>
    <row r="68" spans="8:9" ht="12.75">
      <c r="H68" s="4"/>
      <c r="I68" s="4"/>
    </row>
    <row r="69" spans="8:9" ht="12.75">
      <c r="H69" s="4"/>
      <c r="I69" s="4"/>
    </row>
    <row r="70" spans="8:9" ht="12.75">
      <c r="H70" s="4"/>
      <c r="I70" s="4"/>
    </row>
    <row r="71" spans="8:9" ht="12.75">
      <c r="H71" s="4"/>
      <c r="I71" s="4"/>
    </row>
    <row r="72" spans="8:9" ht="12.75">
      <c r="H72" s="4"/>
      <c r="I72" s="4"/>
    </row>
    <row r="73" spans="8:9" ht="12.75">
      <c r="H73" s="4"/>
      <c r="I73" s="4"/>
    </row>
    <row r="74" spans="8:9" ht="13.5" thickBot="1">
      <c r="H74" s="5"/>
      <c r="I74" s="5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25"/>
  <sheetViews>
    <sheetView workbookViewId="0" topLeftCell="A11">
      <pane ySplit="495" topLeftCell="BM1" activePane="bottomLeft" state="split"/>
      <selection pane="topLeft" activeCell="V11" sqref="V11"/>
      <selection pane="bottomLeft" activeCell="E13" sqref="E13"/>
    </sheetView>
  </sheetViews>
  <sheetFormatPr defaultColWidth="9.140625" defaultRowHeight="12.75"/>
  <cols>
    <col min="1" max="1" width="5.8515625" style="25" customWidth="1"/>
    <col min="2" max="2" width="6.00390625" style="25" customWidth="1"/>
    <col min="3" max="3" width="7.57421875" style="25" customWidth="1"/>
    <col min="4" max="4" width="8.7109375" style="25" customWidth="1"/>
    <col min="5" max="5" width="9.00390625" style="25" customWidth="1"/>
    <col min="6" max="6" width="8.7109375" style="25" customWidth="1"/>
    <col min="7" max="7" width="5.421875" style="25" customWidth="1"/>
    <col min="8" max="8" width="9.8515625" style="25" customWidth="1"/>
    <col min="9" max="9" width="8.28125" style="25" customWidth="1"/>
    <col min="10" max="10" width="4.57421875" style="25" customWidth="1"/>
    <col min="11" max="11" width="9.8515625" style="25" customWidth="1"/>
    <col min="12" max="12" width="8.28125" style="25" customWidth="1"/>
    <col min="13" max="13" width="5.8515625" style="25" customWidth="1"/>
    <col min="14" max="14" width="4.421875" style="25" customWidth="1"/>
    <col min="15" max="15" width="9.00390625" style="24" customWidth="1"/>
    <col min="16" max="16" width="6.57421875" style="24" customWidth="1"/>
    <col min="17" max="17" width="9.140625" style="24" customWidth="1"/>
    <col min="18" max="18" width="18.57421875" style="24" customWidth="1"/>
    <col min="19" max="19" width="15.7109375" style="24" customWidth="1"/>
    <col min="20" max="16384" width="9.140625" style="24" customWidth="1"/>
  </cols>
  <sheetData>
    <row r="1" spans="1:16" s="21" customFormat="1" ht="12.75">
      <c r="A1" s="20" t="s">
        <v>178</v>
      </c>
      <c r="B1" s="20" t="s">
        <v>179</v>
      </c>
      <c r="C1" s="20" t="s">
        <v>180</v>
      </c>
      <c r="D1" s="20" t="s">
        <v>181</v>
      </c>
      <c r="E1" s="20" t="s">
        <v>182</v>
      </c>
      <c r="F1" s="20" t="s">
        <v>183</v>
      </c>
      <c r="G1" s="20" t="s">
        <v>184</v>
      </c>
      <c r="H1" s="20" t="s">
        <v>185</v>
      </c>
      <c r="I1" s="20" t="s">
        <v>186</v>
      </c>
      <c r="J1" s="20" t="s">
        <v>187</v>
      </c>
      <c r="K1" s="20" t="s">
        <v>188</v>
      </c>
      <c r="L1" s="20" t="s">
        <v>189</v>
      </c>
      <c r="M1" s="20" t="s">
        <v>190</v>
      </c>
      <c r="N1" s="20" t="s">
        <v>191</v>
      </c>
      <c r="O1" s="15" t="s">
        <v>192</v>
      </c>
      <c r="P1" s="15" t="s">
        <v>193</v>
      </c>
    </row>
    <row r="2" spans="1:28" ht="12.75">
      <c r="A2" s="22">
        <v>18</v>
      </c>
      <c r="B2" s="22">
        <v>3</v>
      </c>
      <c r="C2" s="22">
        <v>2</v>
      </c>
      <c r="D2" s="22">
        <v>3200</v>
      </c>
      <c r="E2" s="22">
        <v>50</v>
      </c>
      <c r="F2" s="22">
        <v>8000</v>
      </c>
      <c r="G2" s="22">
        <v>75</v>
      </c>
      <c r="H2" s="22">
        <v>160</v>
      </c>
      <c r="I2" s="22">
        <v>180</v>
      </c>
      <c r="J2" s="22">
        <v>0</v>
      </c>
      <c r="K2" s="22">
        <v>26</v>
      </c>
      <c r="L2" s="22">
        <v>30</v>
      </c>
      <c r="M2" s="22">
        <v>1</v>
      </c>
      <c r="N2" s="22">
        <v>1</v>
      </c>
      <c r="O2" s="23" t="s">
        <v>194</v>
      </c>
      <c r="P2" s="23" t="s">
        <v>195</v>
      </c>
      <c r="AB2" s="21" t="s">
        <v>200</v>
      </c>
    </row>
    <row r="3" spans="1:26" ht="12.75">
      <c r="A3" s="22">
        <v>5</v>
      </c>
      <c r="B3" s="22">
        <v>2</v>
      </c>
      <c r="C3" s="22">
        <v>3</v>
      </c>
      <c r="D3" s="22">
        <v>3720</v>
      </c>
      <c r="E3" s="22">
        <v>52</v>
      </c>
      <c r="F3" s="22">
        <v>8110</v>
      </c>
      <c r="G3" s="22">
        <v>68</v>
      </c>
      <c r="H3" s="22">
        <v>160</v>
      </c>
      <c r="I3" s="22">
        <v>187</v>
      </c>
      <c r="J3" s="22">
        <v>0</v>
      </c>
      <c r="K3" s="22">
        <v>35</v>
      </c>
      <c r="L3" s="22">
        <v>38</v>
      </c>
      <c r="M3" s="22">
        <v>1</v>
      </c>
      <c r="N3" s="22">
        <v>1</v>
      </c>
      <c r="O3" s="23" t="s">
        <v>194</v>
      </c>
      <c r="P3" s="23" t="s">
        <v>195</v>
      </c>
      <c r="R3" t="s">
        <v>105</v>
      </c>
      <c r="S3"/>
      <c r="T3"/>
      <c r="U3"/>
      <c r="V3"/>
      <c r="W3"/>
      <c r="X3"/>
      <c r="Y3"/>
      <c r="Z3"/>
    </row>
    <row r="4" spans="1:26" ht="13.5" thickBot="1">
      <c r="A4" s="22">
        <v>24</v>
      </c>
      <c r="B4" s="22">
        <v>1</v>
      </c>
      <c r="C4" s="22">
        <v>2</v>
      </c>
      <c r="D4" s="22">
        <v>4100</v>
      </c>
      <c r="E4" s="22">
        <v>53</v>
      </c>
      <c r="F4" s="22">
        <v>8750</v>
      </c>
      <c r="G4" s="22">
        <v>64</v>
      </c>
      <c r="H4" s="22">
        <v>173</v>
      </c>
      <c r="I4" s="22">
        <v>186</v>
      </c>
      <c r="J4" s="22">
        <v>0</v>
      </c>
      <c r="K4" s="22">
        <v>26</v>
      </c>
      <c r="L4" s="22">
        <v>28</v>
      </c>
      <c r="M4" s="22">
        <v>1</v>
      </c>
      <c r="N4" s="22">
        <v>1</v>
      </c>
      <c r="O4" s="23" t="s">
        <v>194</v>
      </c>
      <c r="P4" s="23" t="s">
        <v>195</v>
      </c>
      <c r="R4"/>
      <c r="S4"/>
      <c r="T4"/>
      <c r="U4"/>
      <c r="V4"/>
      <c r="W4"/>
      <c r="X4"/>
      <c r="Y4"/>
      <c r="Z4"/>
    </row>
    <row r="5" spans="1:26" ht="12.75">
      <c r="A5" s="22">
        <v>14</v>
      </c>
      <c r="B5" s="22">
        <v>1</v>
      </c>
      <c r="C5" s="22">
        <v>3</v>
      </c>
      <c r="D5" s="22">
        <v>3960</v>
      </c>
      <c r="E5" s="22">
        <v>53</v>
      </c>
      <c r="F5" s="22">
        <v>8350</v>
      </c>
      <c r="G5" s="22">
        <v>72</v>
      </c>
      <c r="H5" s="22">
        <v>159</v>
      </c>
      <c r="I5" s="22">
        <v>177</v>
      </c>
      <c r="J5" s="22">
        <v>1</v>
      </c>
      <c r="K5" s="22">
        <v>24</v>
      </c>
      <c r="L5" s="22">
        <v>26</v>
      </c>
      <c r="M5" s="22">
        <v>1</v>
      </c>
      <c r="N5" s="22">
        <v>1</v>
      </c>
      <c r="O5" s="23" t="s">
        <v>194</v>
      </c>
      <c r="P5" s="23" t="s">
        <v>195</v>
      </c>
      <c r="R5" s="7" t="s">
        <v>108</v>
      </c>
      <c r="S5" s="7"/>
      <c r="T5"/>
      <c r="U5"/>
      <c r="V5"/>
      <c r="W5"/>
      <c r="X5"/>
      <c r="Y5"/>
      <c r="Z5"/>
    </row>
    <row r="6" spans="1:26" ht="12.75">
      <c r="A6" s="22">
        <v>24</v>
      </c>
      <c r="B6" s="22">
        <v>1</v>
      </c>
      <c r="C6" s="22">
        <v>1</v>
      </c>
      <c r="D6" s="22">
        <v>3700</v>
      </c>
      <c r="E6" s="22">
        <v>52</v>
      </c>
      <c r="F6" s="22">
        <v>6700</v>
      </c>
      <c r="G6" s="22">
        <v>68</v>
      </c>
      <c r="H6" s="22">
        <v>168</v>
      </c>
      <c r="I6" s="22">
        <v>183</v>
      </c>
      <c r="J6" s="22">
        <v>0</v>
      </c>
      <c r="K6" s="22">
        <v>22</v>
      </c>
      <c r="L6" s="22">
        <v>28</v>
      </c>
      <c r="M6" s="22">
        <v>1</v>
      </c>
      <c r="N6" s="22">
        <v>0</v>
      </c>
      <c r="O6" s="23" t="s">
        <v>194</v>
      </c>
      <c r="P6" s="23" t="s">
        <v>196</v>
      </c>
      <c r="R6" s="4" t="s">
        <v>110</v>
      </c>
      <c r="S6" s="4">
        <v>0.20547341804525132</v>
      </c>
      <c r="U6" s="21"/>
      <c r="V6"/>
      <c r="W6"/>
      <c r="X6"/>
      <c r="Y6"/>
      <c r="Z6"/>
    </row>
    <row r="7" spans="1:26" ht="12.75">
      <c r="A7" s="22">
        <v>16</v>
      </c>
      <c r="B7" s="22">
        <v>1</v>
      </c>
      <c r="C7" s="22">
        <v>2</v>
      </c>
      <c r="D7" s="22">
        <v>3700</v>
      </c>
      <c r="E7" s="22">
        <v>51</v>
      </c>
      <c r="F7" s="22">
        <v>7990</v>
      </c>
      <c r="G7" s="22">
        <v>68</v>
      </c>
      <c r="H7" s="22">
        <v>173</v>
      </c>
      <c r="I7" s="22">
        <v>186</v>
      </c>
      <c r="J7" s="22">
        <v>0</v>
      </c>
      <c r="K7" s="22">
        <v>24</v>
      </c>
      <c r="L7" s="22">
        <v>29</v>
      </c>
      <c r="M7" s="22">
        <v>1</v>
      </c>
      <c r="N7" s="22">
        <v>1</v>
      </c>
      <c r="O7" s="23" t="s">
        <v>194</v>
      </c>
      <c r="P7" s="23" t="s">
        <v>196</v>
      </c>
      <c r="R7" s="4" t="s">
        <v>112</v>
      </c>
      <c r="S7" s="4">
        <v>0.04221932552319861</v>
      </c>
      <c r="U7" s="26" t="s">
        <v>170</v>
      </c>
      <c r="V7"/>
      <c r="W7"/>
      <c r="X7"/>
      <c r="Y7"/>
      <c r="Z7"/>
    </row>
    <row r="8" spans="1:26" ht="12.75">
      <c r="A8" s="22">
        <v>0</v>
      </c>
      <c r="B8" s="22">
        <v>1</v>
      </c>
      <c r="C8" s="22">
        <v>1</v>
      </c>
      <c r="D8" s="22">
        <v>2860</v>
      </c>
      <c r="E8" s="22">
        <v>50</v>
      </c>
      <c r="F8" s="22">
        <v>7900</v>
      </c>
      <c r="G8" s="22">
        <v>66</v>
      </c>
      <c r="H8" s="22">
        <v>170</v>
      </c>
      <c r="I8" s="22">
        <v>179</v>
      </c>
      <c r="J8" s="22">
        <v>0</v>
      </c>
      <c r="K8" s="22">
        <v>24</v>
      </c>
      <c r="L8" s="22">
        <v>29</v>
      </c>
      <c r="M8" s="22">
        <v>1</v>
      </c>
      <c r="N8" s="22">
        <v>1</v>
      </c>
      <c r="O8" s="23" t="s">
        <v>194</v>
      </c>
      <c r="P8" s="23" t="s">
        <v>195</v>
      </c>
      <c r="R8" s="4" t="s">
        <v>114</v>
      </c>
      <c r="S8" s="4">
        <v>0.032345297951272826</v>
      </c>
      <c r="U8" s="27" t="s">
        <v>201</v>
      </c>
      <c r="V8"/>
      <c r="W8"/>
      <c r="X8"/>
      <c r="Y8"/>
      <c r="Z8"/>
    </row>
    <row r="9" spans="1:26" ht="12.75">
      <c r="A9" s="22">
        <v>19</v>
      </c>
      <c r="B9" s="22">
        <v>2</v>
      </c>
      <c r="C9" s="22">
        <v>3</v>
      </c>
      <c r="D9" s="22">
        <v>3420</v>
      </c>
      <c r="E9" s="22">
        <v>51</v>
      </c>
      <c r="F9" s="22">
        <v>8030</v>
      </c>
      <c r="G9" s="22">
        <v>69</v>
      </c>
      <c r="H9" s="22">
        <v>164</v>
      </c>
      <c r="I9" s="22">
        <v>183</v>
      </c>
      <c r="J9" s="22">
        <v>0</v>
      </c>
      <c r="K9" s="22">
        <v>28</v>
      </c>
      <c r="L9" s="22">
        <v>32</v>
      </c>
      <c r="M9" s="22">
        <v>0</v>
      </c>
      <c r="N9" s="22">
        <v>0</v>
      </c>
      <c r="O9" s="23" t="s">
        <v>194</v>
      </c>
      <c r="P9" s="23" t="s">
        <v>195</v>
      </c>
      <c r="R9" s="4" t="s">
        <v>12</v>
      </c>
      <c r="S9" s="4">
        <v>6.674086747791442</v>
      </c>
      <c r="U9" s="21"/>
      <c r="V9"/>
      <c r="W9"/>
      <c r="X9"/>
      <c r="Y9"/>
      <c r="Z9"/>
    </row>
    <row r="10" spans="1:26" ht="13.5" thickBot="1">
      <c r="A10" s="22">
        <v>24</v>
      </c>
      <c r="B10" s="22">
        <v>3</v>
      </c>
      <c r="C10" s="22">
        <v>3</v>
      </c>
      <c r="D10" s="22">
        <v>3820</v>
      </c>
      <c r="E10" s="22">
        <v>52</v>
      </c>
      <c r="F10" s="22">
        <v>9000</v>
      </c>
      <c r="G10" s="22">
        <v>71</v>
      </c>
      <c r="H10" s="22">
        <v>170</v>
      </c>
      <c r="I10" s="22">
        <v>195</v>
      </c>
      <c r="J10" s="22">
        <v>0</v>
      </c>
      <c r="K10" s="22">
        <v>29</v>
      </c>
      <c r="L10" s="22">
        <v>30</v>
      </c>
      <c r="M10" s="22">
        <v>0</v>
      </c>
      <c r="N10" s="22">
        <v>1</v>
      </c>
      <c r="O10" s="23" t="s">
        <v>194</v>
      </c>
      <c r="P10" s="23" t="s">
        <v>196</v>
      </c>
      <c r="R10" s="5" t="s">
        <v>27</v>
      </c>
      <c r="S10" s="5">
        <v>99</v>
      </c>
      <c r="U10" s="21"/>
      <c r="V10"/>
      <c r="W10"/>
      <c r="X10"/>
      <c r="Y10"/>
      <c r="Z10"/>
    </row>
    <row r="11" spans="1:26" ht="12.75">
      <c r="A11" s="22">
        <v>12</v>
      </c>
      <c r="B11" s="22">
        <v>1</v>
      </c>
      <c r="C11" s="22">
        <v>2</v>
      </c>
      <c r="D11" s="22">
        <v>2900</v>
      </c>
      <c r="E11" s="22">
        <v>50</v>
      </c>
      <c r="F11" s="22">
        <v>8070</v>
      </c>
      <c r="G11" s="22">
        <v>65</v>
      </c>
      <c r="H11" s="22">
        <v>164</v>
      </c>
      <c r="I11" s="22">
        <v>178</v>
      </c>
      <c r="J11" s="22">
        <v>0</v>
      </c>
      <c r="K11" s="22">
        <v>27</v>
      </c>
      <c r="L11" s="22">
        <v>29</v>
      </c>
      <c r="M11" s="22">
        <v>1</v>
      </c>
      <c r="N11" s="22">
        <v>1</v>
      </c>
      <c r="O11" s="23" t="s">
        <v>194</v>
      </c>
      <c r="P11" s="23" t="s">
        <v>195</v>
      </c>
      <c r="R11"/>
      <c r="S11"/>
      <c r="T11"/>
      <c r="U11"/>
      <c r="V11"/>
      <c r="W11"/>
      <c r="X11"/>
      <c r="Y11"/>
      <c r="Z11"/>
    </row>
    <row r="12" spans="1:26" ht="13.5" thickBot="1">
      <c r="A12" s="22">
        <v>16</v>
      </c>
      <c r="B12" s="22">
        <v>2</v>
      </c>
      <c r="C12" s="22">
        <v>2</v>
      </c>
      <c r="D12" s="22">
        <v>4050</v>
      </c>
      <c r="E12" s="22">
        <v>52</v>
      </c>
      <c r="F12" s="22">
        <v>7850</v>
      </c>
      <c r="G12" s="22">
        <v>62</v>
      </c>
      <c r="H12" s="22">
        <v>174</v>
      </c>
      <c r="I12" s="22">
        <v>178</v>
      </c>
      <c r="J12" s="22">
        <v>0</v>
      </c>
      <c r="K12" s="22">
        <v>35</v>
      </c>
      <c r="L12" s="22">
        <v>37</v>
      </c>
      <c r="M12" s="22">
        <v>1</v>
      </c>
      <c r="N12" s="22">
        <v>1</v>
      </c>
      <c r="O12" s="23" t="s">
        <v>194</v>
      </c>
      <c r="P12" s="23" t="s">
        <v>195</v>
      </c>
      <c r="R12" t="s">
        <v>119</v>
      </c>
      <c r="S12"/>
      <c r="T12"/>
      <c r="U12"/>
      <c r="V12"/>
      <c r="W12"/>
      <c r="X12"/>
      <c r="Y12"/>
      <c r="Z12"/>
    </row>
    <row r="13" spans="1:26" ht="12.75">
      <c r="A13" s="22">
        <v>8</v>
      </c>
      <c r="B13" s="22">
        <v>1</v>
      </c>
      <c r="C13" s="22">
        <v>1</v>
      </c>
      <c r="D13" s="22">
        <v>3550</v>
      </c>
      <c r="E13" s="22">
        <v>51</v>
      </c>
      <c r="F13" s="22">
        <v>7200</v>
      </c>
      <c r="G13" s="22">
        <v>70</v>
      </c>
      <c r="H13" s="22">
        <v>164</v>
      </c>
      <c r="I13" s="22">
        <v>175</v>
      </c>
      <c r="J13" s="22">
        <v>0</v>
      </c>
      <c r="K13" s="22">
        <v>21</v>
      </c>
      <c r="L13" s="22">
        <v>23</v>
      </c>
      <c r="M13" s="22">
        <v>1</v>
      </c>
      <c r="N13" s="22">
        <v>0</v>
      </c>
      <c r="O13" s="23" t="s">
        <v>194</v>
      </c>
      <c r="P13" s="23" t="s">
        <v>196</v>
      </c>
      <c r="R13" s="6"/>
      <c r="S13" s="6" t="s">
        <v>30</v>
      </c>
      <c r="T13" s="6" t="s">
        <v>121</v>
      </c>
      <c r="U13" s="6" t="s">
        <v>81</v>
      </c>
      <c r="V13" s="6" t="s">
        <v>40</v>
      </c>
      <c r="W13" s="6" t="s">
        <v>122</v>
      </c>
      <c r="X13"/>
      <c r="Y13"/>
      <c r="Z13"/>
    </row>
    <row r="14" spans="1:26" ht="12.75">
      <c r="A14" s="22">
        <v>0</v>
      </c>
      <c r="B14" s="22">
        <v>3</v>
      </c>
      <c r="C14" s="22">
        <v>3</v>
      </c>
      <c r="D14" s="22">
        <v>3080</v>
      </c>
      <c r="E14" s="22">
        <v>49</v>
      </c>
      <c r="F14" s="22">
        <v>8200</v>
      </c>
      <c r="G14" s="22">
        <v>66</v>
      </c>
      <c r="H14" s="22">
        <v>169</v>
      </c>
      <c r="I14" s="22">
        <v>173</v>
      </c>
      <c r="J14" s="22">
        <v>0</v>
      </c>
      <c r="K14" s="22">
        <v>30</v>
      </c>
      <c r="L14" s="22">
        <v>30</v>
      </c>
      <c r="M14" s="22">
        <v>1</v>
      </c>
      <c r="N14" s="22">
        <v>0</v>
      </c>
      <c r="O14" s="23" t="s">
        <v>194</v>
      </c>
      <c r="P14" s="23" t="s">
        <v>196</v>
      </c>
      <c r="R14" s="4" t="s">
        <v>124</v>
      </c>
      <c r="S14" s="4">
        <v>1</v>
      </c>
      <c r="T14" s="4">
        <v>190.45862721831963</v>
      </c>
      <c r="U14" s="4">
        <v>190.45862721831963</v>
      </c>
      <c r="V14" s="4">
        <v>4.27579579008248</v>
      </c>
      <c r="W14" s="4">
        <v>0.04132097692470127</v>
      </c>
      <c r="X14"/>
      <c r="Y14"/>
      <c r="Z14"/>
    </row>
    <row r="15" spans="1:26" ht="12.75">
      <c r="A15" s="22">
        <v>6</v>
      </c>
      <c r="B15" s="22">
        <v>1</v>
      </c>
      <c r="C15" s="22">
        <v>1</v>
      </c>
      <c r="D15" s="22">
        <v>3333</v>
      </c>
      <c r="E15" s="22">
        <v>51</v>
      </c>
      <c r="F15" s="22">
        <v>7830</v>
      </c>
      <c r="G15" s="22">
        <v>67</v>
      </c>
      <c r="H15" s="22">
        <v>171</v>
      </c>
      <c r="I15" s="22">
        <v>179</v>
      </c>
      <c r="J15" s="22">
        <v>0</v>
      </c>
      <c r="K15" s="22">
        <v>21</v>
      </c>
      <c r="L15" s="22">
        <v>22</v>
      </c>
      <c r="M15" s="22">
        <v>1</v>
      </c>
      <c r="N15" s="22">
        <v>0</v>
      </c>
      <c r="O15" s="23" t="s">
        <v>194</v>
      </c>
      <c r="P15" s="23" t="s">
        <v>195</v>
      </c>
      <c r="R15" s="4" t="s">
        <v>126</v>
      </c>
      <c r="S15" s="4">
        <v>97</v>
      </c>
      <c r="T15" s="4">
        <v>4320.713089953399</v>
      </c>
      <c r="U15" s="4">
        <v>44.54343391704535</v>
      </c>
      <c r="V15" s="4"/>
      <c r="W15" s="4"/>
      <c r="X15"/>
      <c r="Y15"/>
      <c r="Z15"/>
    </row>
    <row r="16" spans="1:26" ht="13.5" thickBot="1">
      <c r="A16" s="22">
        <v>16</v>
      </c>
      <c r="B16" s="22">
        <v>1</v>
      </c>
      <c r="C16" s="22">
        <v>3</v>
      </c>
      <c r="D16" s="22">
        <v>3840</v>
      </c>
      <c r="E16" s="22">
        <v>51</v>
      </c>
      <c r="F16" s="22">
        <v>9100</v>
      </c>
      <c r="G16" s="22">
        <v>75</v>
      </c>
      <c r="H16" s="22">
        <v>172</v>
      </c>
      <c r="I16" s="22">
        <v>182</v>
      </c>
      <c r="J16" s="22">
        <v>1</v>
      </c>
      <c r="K16" s="22">
        <v>26</v>
      </c>
      <c r="L16" s="22">
        <v>28</v>
      </c>
      <c r="M16" s="22">
        <v>0</v>
      </c>
      <c r="N16" s="22">
        <v>0</v>
      </c>
      <c r="O16" s="23" t="s">
        <v>194</v>
      </c>
      <c r="P16" s="23" t="s">
        <v>196</v>
      </c>
      <c r="R16" s="5" t="s">
        <v>128</v>
      </c>
      <c r="S16" s="5">
        <v>98</v>
      </c>
      <c r="T16" s="5">
        <v>4511.171717171718</v>
      </c>
      <c r="U16" s="5"/>
      <c r="V16" s="5"/>
      <c r="W16" s="5"/>
      <c r="X16"/>
      <c r="Y16"/>
      <c r="Z16"/>
    </row>
    <row r="17" spans="1:26" ht="13.5" thickBot="1">
      <c r="A17" s="22">
        <v>10</v>
      </c>
      <c r="B17" s="22">
        <v>1</v>
      </c>
      <c r="C17" s="22">
        <v>1</v>
      </c>
      <c r="D17" s="22">
        <v>3550</v>
      </c>
      <c r="E17" s="22">
        <v>50</v>
      </c>
      <c r="F17" s="22">
        <v>6460</v>
      </c>
      <c r="G17" s="22">
        <v>76</v>
      </c>
      <c r="H17" s="22">
        <v>187</v>
      </c>
      <c r="I17" s="22">
        <v>178</v>
      </c>
      <c r="J17" s="22">
        <v>0</v>
      </c>
      <c r="K17" s="22">
        <v>22</v>
      </c>
      <c r="L17" s="22">
        <v>29</v>
      </c>
      <c r="M17" s="22">
        <v>1</v>
      </c>
      <c r="N17" s="22">
        <v>0</v>
      </c>
      <c r="O17" s="23" t="s">
        <v>194</v>
      </c>
      <c r="P17" s="23" t="s">
        <v>195</v>
      </c>
      <c r="R17"/>
      <c r="S17"/>
      <c r="T17"/>
      <c r="U17"/>
      <c r="V17"/>
      <c r="W17"/>
      <c r="X17"/>
      <c r="Y17"/>
      <c r="Z17"/>
    </row>
    <row r="18" spans="1:26" ht="12.75">
      <c r="A18" s="22">
        <v>12</v>
      </c>
      <c r="B18" s="22">
        <v>1</v>
      </c>
      <c r="C18" s="22">
        <v>1</v>
      </c>
      <c r="D18" s="22">
        <v>3160</v>
      </c>
      <c r="E18" s="22">
        <v>48</v>
      </c>
      <c r="F18" s="22">
        <v>8700</v>
      </c>
      <c r="G18" s="22">
        <v>69</v>
      </c>
      <c r="H18" s="22">
        <v>160</v>
      </c>
      <c r="I18" s="22">
        <v>184</v>
      </c>
      <c r="J18" s="22">
        <v>1</v>
      </c>
      <c r="K18" s="22">
        <v>23</v>
      </c>
      <c r="L18" s="22">
        <v>25</v>
      </c>
      <c r="M18" s="22">
        <v>0</v>
      </c>
      <c r="N18" s="22">
        <v>1</v>
      </c>
      <c r="O18" s="23" t="s">
        <v>194</v>
      </c>
      <c r="P18" s="23" t="s">
        <v>196</v>
      </c>
      <c r="R18" s="6"/>
      <c r="S18" s="6" t="s">
        <v>131</v>
      </c>
      <c r="T18" s="6" t="s">
        <v>12</v>
      </c>
      <c r="U18" s="6" t="s">
        <v>31</v>
      </c>
      <c r="V18" s="6" t="s">
        <v>132</v>
      </c>
      <c r="W18" s="6" t="s">
        <v>133</v>
      </c>
      <c r="X18" s="6" t="s">
        <v>134</v>
      </c>
      <c r="Y18" s="6" t="s">
        <v>158</v>
      </c>
      <c r="Z18" s="6" t="s">
        <v>159</v>
      </c>
    </row>
    <row r="19" spans="1:26" ht="12.75">
      <c r="A19" s="22">
        <v>20</v>
      </c>
      <c r="B19" s="22">
        <v>1</v>
      </c>
      <c r="C19" s="22">
        <v>3</v>
      </c>
      <c r="D19" s="22">
        <v>3310</v>
      </c>
      <c r="E19" s="22">
        <v>51</v>
      </c>
      <c r="F19" s="22">
        <v>7970</v>
      </c>
      <c r="G19" s="22">
        <v>68</v>
      </c>
      <c r="H19" s="22">
        <v>165</v>
      </c>
      <c r="I19" s="22">
        <v>181</v>
      </c>
      <c r="J19" s="22">
        <v>1</v>
      </c>
      <c r="K19" s="22">
        <v>28</v>
      </c>
      <c r="L19" s="22">
        <v>28</v>
      </c>
      <c r="M19" s="22">
        <v>1</v>
      </c>
      <c r="N19" s="22">
        <v>1</v>
      </c>
      <c r="O19" s="23" t="s">
        <v>194</v>
      </c>
      <c r="P19" s="23" t="s">
        <v>196</v>
      </c>
      <c r="R19" s="4" t="s">
        <v>136</v>
      </c>
      <c r="S19" s="4">
        <v>141.16813533867798</v>
      </c>
      <c r="T19" s="4">
        <v>18.434925008719542</v>
      </c>
      <c r="U19" s="4">
        <v>7.657646302976921</v>
      </c>
      <c r="V19" s="4">
        <v>1.4224239445121428E-11</v>
      </c>
      <c r="W19" s="4">
        <v>104.57991315616982</v>
      </c>
      <c r="X19" s="4">
        <v>177.75635752118615</v>
      </c>
      <c r="Y19" s="4">
        <v>104.57991315616982</v>
      </c>
      <c r="Z19" s="4">
        <v>177.75635752118615</v>
      </c>
    </row>
    <row r="20" spans="1:26" ht="13.5" thickBot="1">
      <c r="A20" s="22">
        <v>16</v>
      </c>
      <c r="B20" s="22">
        <v>2</v>
      </c>
      <c r="C20" s="22">
        <v>2</v>
      </c>
      <c r="D20" s="22">
        <v>3330</v>
      </c>
      <c r="E20" s="22">
        <v>51</v>
      </c>
      <c r="F20" s="22">
        <v>9600</v>
      </c>
      <c r="G20" s="22">
        <v>74</v>
      </c>
      <c r="H20" s="22">
        <v>167</v>
      </c>
      <c r="I20" s="22">
        <v>167</v>
      </c>
      <c r="J20" s="22">
        <v>1</v>
      </c>
      <c r="K20" s="22">
        <v>28</v>
      </c>
      <c r="L20" s="22">
        <v>37</v>
      </c>
      <c r="M20" s="22">
        <v>1</v>
      </c>
      <c r="N20" s="22">
        <v>1</v>
      </c>
      <c r="O20" s="23" t="s">
        <v>194</v>
      </c>
      <c r="P20" s="23" t="s">
        <v>195</v>
      </c>
      <c r="R20" s="5" t="s">
        <v>185</v>
      </c>
      <c r="S20" s="5">
        <v>0.22815212350096062</v>
      </c>
      <c r="T20" s="5">
        <v>0.11033569567280545</v>
      </c>
      <c r="U20" s="5">
        <v>2.0677997461268873</v>
      </c>
      <c r="V20" s="5">
        <v>0.041320976924702935</v>
      </c>
      <c r="W20" s="5">
        <v>0.009166315528931795</v>
      </c>
      <c r="X20" s="5">
        <v>0.4471379314729894</v>
      </c>
      <c r="Y20" s="5">
        <v>0.009166315528931795</v>
      </c>
      <c r="Z20" s="5">
        <v>0.4471379314729894</v>
      </c>
    </row>
    <row r="21" spans="1:26" ht="12.75">
      <c r="A21" s="22">
        <v>1</v>
      </c>
      <c r="B21" s="22">
        <v>2</v>
      </c>
      <c r="C21" s="22">
        <v>1</v>
      </c>
      <c r="D21" s="22">
        <v>3290</v>
      </c>
      <c r="E21" s="22">
        <v>52</v>
      </c>
      <c r="F21" s="22">
        <v>6820</v>
      </c>
      <c r="G21" s="22">
        <v>71</v>
      </c>
      <c r="H21" s="22">
        <v>170</v>
      </c>
      <c r="I21" s="22">
        <v>170</v>
      </c>
      <c r="J21" s="22">
        <v>1</v>
      </c>
      <c r="K21" s="22">
        <v>23</v>
      </c>
      <c r="L21" s="22">
        <v>24</v>
      </c>
      <c r="M21" s="22">
        <v>1</v>
      </c>
      <c r="N21" s="22">
        <v>1</v>
      </c>
      <c r="O21" s="23" t="s">
        <v>194</v>
      </c>
      <c r="P21" s="23" t="s">
        <v>195</v>
      </c>
      <c r="R21"/>
      <c r="S21"/>
      <c r="T21"/>
      <c r="U21"/>
      <c r="V21"/>
      <c r="W21"/>
      <c r="X21"/>
      <c r="Y21"/>
      <c r="Z21"/>
    </row>
    <row r="22" spans="1:26" ht="12.75">
      <c r="A22" s="22">
        <v>20</v>
      </c>
      <c r="B22" s="22">
        <v>1</v>
      </c>
      <c r="C22" s="22">
        <v>2</v>
      </c>
      <c r="D22" s="22">
        <v>4310</v>
      </c>
      <c r="E22" s="22">
        <v>53</v>
      </c>
      <c r="F22" s="22">
        <v>7710</v>
      </c>
      <c r="G22" s="22">
        <v>67</v>
      </c>
      <c r="H22" s="22">
        <v>170</v>
      </c>
      <c r="I22" s="22">
        <v>185</v>
      </c>
      <c r="J22" s="22">
        <v>0</v>
      </c>
      <c r="K22" s="22">
        <v>21</v>
      </c>
      <c r="L22" s="22">
        <v>27</v>
      </c>
      <c r="M22" s="22">
        <v>1</v>
      </c>
      <c r="N22" s="22">
        <v>0</v>
      </c>
      <c r="O22" s="23" t="s">
        <v>194</v>
      </c>
      <c r="P22" s="23" t="s">
        <v>195</v>
      </c>
      <c r="R22"/>
      <c r="S22"/>
      <c r="T22"/>
      <c r="U22"/>
      <c r="V22"/>
      <c r="W22"/>
      <c r="X22"/>
      <c r="Y22"/>
      <c r="Z22"/>
    </row>
    <row r="23" spans="1:26" ht="12.75">
      <c r="A23" s="22">
        <v>20</v>
      </c>
      <c r="B23" s="22">
        <v>1</v>
      </c>
      <c r="C23" s="22">
        <v>2</v>
      </c>
      <c r="D23" s="22">
        <v>3070</v>
      </c>
      <c r="E23" s="22">
        <v>49</v>
      </c>
      <c r="F23" s="22">
        <v>6600</v>
      </c>
      <c r="G23" s="22">
        <v>64</v>
      </c>
      <c r="H23" s="22">
        <v>153</v>
      </c>
      <c r="I23" s="22">
        <v>177</v>
      </c>
      <c r="J23" s="22">
        <v>0</v>
      </c>
      <c r="K23" s="22">
        <v>25</v>
      </c>
      <c r="L23" s="22">
        <v>28</v>
      </c>
      <c r="M23" s="22">
        <v>1</v>
      </c>
      <c r="N23" s="22">
        <v>1</v>
      </c>
      <c r="O23" s="23" t="s">
        <v>194</v>
      </c>
      <c r="P23" s="23" t="s">
        <v>196</v>
      </c>
      <c r="R23"/>
      <c r="S23"/>
      <c r="T23"/>
      <c r="U23"/>
      <c r="V23"/>
      <c r="W23"/>
      <c r="X23"/>
      <c r="Y23"/>
      <c r="Z23"/>
    </row>
    <row r="24" spans="1:26" ht="12.75">
      <c r="A24" s="22">
        <v>24</v>
      </c>
      <c r="B24" s="22">
        <v>2</v>
      </c>
      <c r="C24" s="22">
        <v>3</v>
      </c>
      <c r="D24" s="22">
        <v>3200</v>
      </c>
      <c r="E24" s="22">
        <v>49</v>
      </c>
      <c r="F24" s="22">
        <v>7600</v>
      </c>
      <c r="G24" s="22">
        <v>70</v>
      </c>
      <c r="H24" s="22">
        <v>158</v>
      </c>
      <c r="I24" s="22">
        <v>162</v>
      </c>
      <c r="J24" s="22">
        <v>0</v>
      </c>
      <c r="K24" s="22">
        <v>28</v>
      </c>
      <c r="L24" s="22">
        <v>32</v>
      </c>
      <c r="M24" s="22">
        <v>1</v>
      </c>
      <c r="N24" s="22">
        <v>1</v>
      </c>
      <c r="O24" s="23" t="s">
        <v>194</v>
      </c>
      <c r="P24" s="23" t="s">
        <v>195</v>
      </c>
      <c r="R24" t="s">
        <v>198</v>
      </c>
      <c r="S24"/>
      <c r="T24"/>
      <c r="U24"/>
      <c r="V24"/>
      <c r="W24"/>
      <c r="X24"/>
      <c r="Y24"/>
      <c r="Z24"/>
    </row>
    <row r="25" spans="1:26" ht="13.5" thickBot="1">
      <c r="A25" s="22">
        <v>24</v>
      </c>
      <c r="B25" s="22">
        <v>1</v>
      </c>
      <c r="C25" s="22">
        <v>2</v>
      </c>
      <c r="D25" s="22">
        <v>3420</v>
      </c>
      <c r="E25" s="22">
        <v>50</v>
      </c>
      <c r="F25" s="22">
        <v>8500</v>
      </c>
      <c r="G25" s="22">
        <v>66</v>
      </c>
      <c r="H25" s="22">
        <v>168</v>
      </c>
      <c r="I25" s="22">
        <v>173</v>
      </c>
      <c r="J25" s="22">
        <v>0</v>
      </c>
      <c r="K25" s="22">
        <v>28</v>
      </c>
      <c r="L25" s="22">
        <v>29</v>
      </c>
      <c r="M25" s="22">
        <v>0</v>
      </c>
      <c r="N25" s="22">
        <v>0</v>
      </c>
      <c r="O25" s="23" t="s">
        <v>194</v>
      </c>
      <c r="P25" s="23" t="s">
        <v>196</v>
      </c>
      <c r="R25"/>
      <c r="S25"/>
      <c r="T25"/>
      <c r="U25"/>
      <c r="V25"/>
      <c r="W25"/>
      <c r="X25"/>
      <c r="Y25"/>
      <c r="Z25"/>
    </row>
    <row r="26" spans="1:26" ht="12.75">
      <c r="A26" s="22">
        <v>24</v>
      </c>
      <c r="B26" s="22">
        <v>1</v>
      </c>
      <c r="C26" s="22">
        <v>3</v>
      </c>
      <c r="D26" s="22">
        <v>3200</v>
      </c>
      <c r="E26" s="22">
        <v>50</v>
      </c>
      <c r="F26" s="22">
        <v>7000</v>
      </c>
      <c r="G26" s="22">
        <v>70</v>
      </c>
      <c r="H26" s="22">
        <v>178</v>
      </c>
      <c r="I26" s="22">
        <v>186</v>
      </c>
      <c r="J26" s="22">
        <v>1</v>
      </c>
      <c r="K26" s="22">
        <v>32</v>
      </c>
      <c r="L26" s="22">
        <v>35</v>
      </c>
      <c r="M26" s="22">
        <v>1</v>
      </c>
      <c r="N26" s="22">
        <v>1</v>
      </c>
      <c r="O26" s="23" t="s">
        <v>194</v>
      </c>
      <c r="P26" s="23" t="s">
        <v>196</v>
      </c>
      <c r="R26" s="6" t="s">
        <v>27</v>
      </c>
      <c r="S26" s="6" t="s">
        <v>199</v>
      </c>
      <c r="T26" s="6" t="s">
        <v>126</v>
      </c>
      <c r="U26"/>
      <c r="V26"/>
      <c r="W26"/>
      <c r="X26"/>
      <c r="Y26"/>
      <c r="Z26"/>
    </row>
    <row r="27" spans="1:26" ht="12.75">
      <c r="A27" s="22">
        <v>16</v>
      </c>
      <c r="B27" s="22">
        <v>2</v>
      </c>
      <c r="C27" s="22">
        <v>2</v>
      </c>
      <c r="D27" s="22">
        <v>3310</v>
      </c>
      <c r="E27" s="22">
        <v>49</v>
      </c>
      <c r="F27" s="22">
        <v>7150</v>
      </c>
      <c r="G27" s="22">
        <v>70</v>
      </c>
      <c r="H27" s="22">
        <v>170</v>
      </c>
      <c r="I27" s="22">
        <v>178</v>
      </c>
      <c r="J27" s="22">
        <v>1</v>
      </c>
      <c r="K27" s="22">
        <v>31</v>
      </c>
      <c r="L27" s="22">
        <v>34</v>
      </c>
      <c r="M27" s="22">
        <v>1</v>
      </c>
      <c r="N27" s="22">
        <v>1</v>
      </c>
      <c r="O27" s="23" t="s">
        <v>194</v>
      </c>
      <c r="P27" s="23" t="s">
        <v>196</v>
      </c>
      <c r="R27" s="4">
        <v>1</v>
      </c>
      <c r="S27" s="4">
        <v>177.67247509883168</v>
      </c>
      <c r="T27" s="4">
        <v>2.3275249011683172</v>
      </c>
      <c r="U27"/>
      <c r="V27"/>
      <c r="W27"/>
      <c r="X27"/>
      <c r="Y27"/>
      <c r="Z27"/>
    </row>
    <row r="28" spans="1:26" ht="12.75">
      <c r="A28" s="22">
        <v>20</v>
      </c>
      <c r="B28" s="22">
        <v>1</v>
      </c>
      <c r="C28" s="22">
        <v>2</v>
      </c>
      <c r="D28" s="22">
        <v>4080</v>
      </c>
      <c r="E28" s="22">
        <v>53</v>
      </c>
      <c r="F28" s="22">
        <v>7650</v>
      </c>
      <c r="G28" s="22">
        <v>70</v>
      </c>
      <c r="H28" s="22">
        <v>170</v>
      </c>
      <c r="I28" s="22">
        <v>180</v>
      </c>
      <c r="J28" s="22">
        <v>0</v>
      </c>
      <c r="K28" s="22">
        <v>25</v>
      </c>
      <c r="L28" s="22">
        <v>26</v>
      </c>
      <c r="M28" s="22">
        <v>0</v>
      </c>
      <c r="N28" s="22">
        <v>0</v>
      </c>
      <c r="O28" s="23" t="s">
        <v>194</v>
      </c>
      <c r="P28" s="23" t="s">
        <v>196</v>
      </c>
      <c r="R28" s="4">
        <v>2</v>
      </c>
      <c r="S28" s="4">
        <v>177.67247509883168</v>
      </c>
      <c r="T28" s="4">
        <v>9.327524901168317</v>
      </c>
      <c r="U28"/>
      <c r="V28"/>
      <c r="W28"/>
      <c r="X28"/>
      <c r="Y28"/>
      <c r="Z28"/>
    </row>
    <row r="29" spans="1:26" ht="12.75">
      <c r="A29" s="22">
        <v>6</v>
      </c>
      <c r="B29" s="22">
        <v>2</v>
      </c>
      <c r="C29" s="22">
        <v>1</v>
      </c>
      <c r="D29" s="22">
        <v>3300</v>
      </c>
      <c r="E29" s="22">
        <v>50</v>
      </c>
      <c r="F29" s="22">
        <v>7800</v>
      </c>
      <c r="G29" s="22">
        <v>70</v>
      </c>
      <c r="H29" s="22">
        <v>156</v>
      </c>
      <c r="I29" s="22">
        <v>178</v>
      </c>
      <c r="J29" s="22">
        <v>0</v>
      </c>
      <c r="K29" s="22">
        <v>22</v>
      </c>
      <c r="L29" s="22">
        <v>28</v>
      </c>
      <c r="M29" s="22">
        <v>1</v>
      </c>
      <c r="N29" s="22">
        <v>0</v>
      </c>
      <c r="O29" s="23" t="s">
        <v>194</v>
      </c>
      <c r="P29" s="23" t="s">
        <v>196</v>
      </c>
      <c r="R29" s="4">
        <v>3</v>
      </c>
      <c r="S29" s="4">
        <v>180.63845270434416</v>
      </c>
      <c r="T29" s="4">
        <v>5.361547295655839</v>
      </c>
      <c r="U29"/>
      <c r="V29"/>
      <c r="W29"/>
      <c r="X29"/>
      <c r="Y29"/>
      <c r="Z29"/>
    </row>
    <row r="30" spans="1:26" ht="12.75">
      <c r="A30" s="22">
        <v>20</v>
      </c>
      <c r="B30" s="22">
        <v>1</v>
      </c>
      <c r="C30" s="22">
        <v>3</v>
      </c>
      <c r="D30" s="22">
        <v>3770</v>
      </c>
      <c r="E30" s="22">
        <v>50</v>
      </c>
      <c r="F30" s="22">
        <v>6900</v>
      </c>
      <c r="G30" s="22">
        <v>68</v>
      </c>
      <c r="H30" s="22">
        <v>170</v>
      </c>
      <c r="I30" s="22">
        <v>185</v>
      </c>
      <c r="J30" s="22">
        <v>0</v>
      </c>
      <c r="K30" s="22">
        <v>26</v>
      </c>
      <c r="L30" s="22">
        <v>27</v>
      </c>
      <c r="M30" s="22">
        <v>1</v>
      </c>
      <c r="N30" s="22">
        <v>1</v>
      </c>
      <c r="O30" s="23" t="s">
        <v>194</v>
      </c>
      <c r="P30" s="23" t="s">
        <v>196</v>
      </c>
      <c r="R30" s="4">
        <v>4</v>
      </c>
      <c r="S30" s="4">
        <v>177.44432297533072</v>
      </c>
      <c r="T30" s="4">
        <v>-0.44432297533072074</v>
      </c>
      <c r="U30"/>
      <c r="V30"/>
      <c r="W30"/>
      <c r="X30"/>
      <c r="Y30"/>
      <c r="Z30"/>
    </row>
    <row r="31" spans="1:26" ht="12.75">
      <c r="A31" s="22">
        <v>3</v>
      </c>
      <c r="B31" s="22">
        <v>1</v>
      </c>
      <c r="C31" s="22">
        <v>1</v>
      </c>
      <c r="D31" s="22">
        <v>3650</v>
      </c>
      <c r="E31" s="22">
        <v>51</v>
      </c>
      <c r="F31" s="22">
        <v>7800</v>
      </c>
      <c r="G31" s="22">
        <v>73</v>
      </c>
      <c r="H31" s="22">
        <v>164</v>
      </c>
      <c r="I31" s="22">
        <v>168</v>
      </c>
      <c r="J31" s="22">
        <v>0</v>
      </c>
      <c r="K31" s="22">
        <v>21</v>
      </c>
      <c r="L31" s="22">
        <v>21</v>
      </c>
      <c r="M31" s="22">
        <v>1</v>
      </c>
      <c r="N31" s="22">
        <v>1</v>
      </c>
      <c r="O31" s="23" t="s">
        <v>194</v>
      </c>
      <c r="P31" s="23" t="s">
        <v>196</v>
      </c>
      <c r="R31" s="4">
        <v>5</v>
      </c>
      <c r="S31" s="4">
        <v>179.49769208683938</v>
      </c>
      <c r="T31" s="4">
        <v>3.502307913160621</v>
      </c>
      <c r="U31"/>
      <c r="V31"/>
      <c r="W31"/>
      <c r="X31"/>
      <c r="Y31"/>
      <c r="Z31"/>
    </row>
    <row r="32" spans="1:26" ht="12.75">
      <c r="A32" s="22">
        <v>2</v>
      </c>
      <c r="B32" s="22">
        <v>1</v>
      </c>
      <c r="C32" s="22">
        <v>3</v>
      </c>
      <c r="D32" s="22">
        <v>3640</v>
      </c>
      <c r="E32" s="22">
        <v>52</v>
      </c>
      <c r="F32" s="22">
        <v>8450</v>
      </c>
      <c r="G32" s="22">
        <v>78</v>
      </c>
      <c r="H32" s="22">
        <v>164</v>
      </c>
      <c r="I32" s="22">
        <v>194</v>
      </c>
      <c r="J32" s="22">
        <v>0</v>
      </c>
      <c r="K32" s="22">
        <v>25</v>
      </c>
      <c r="L32" s="22">
        <v>31</v>
      </c>
      <c r="M32" s="22">
        <v>1</v>
      </c>
      <c r="N32" s="22">
        <v>1</v>
      </c>
      <c r="O32" s="23" t="s">
        <v>194</v>
      </c>
      <c r="P32" s="23" t="s">
        <v>195</v>
      </c>
      <c r="R32" s="4">
        <v>6</v>
      </c>
      <c r="S32" s="4">
        <v>180.63845270434416</v>
      </c>
      <c r="T32" s="4">
        <v>5.361547295655839</v>
      </c>
      <c r="U32"/>
      <c r="V32"/>
      <c r="W32"/>
      <c r="X32"/>
      <c r="Y32"/>
      <c r="Z32"/>
    </row>
    <row r="33" spans="1:26" ht="12.75">
      <c r="A33" s="22">
        <v>16</v>
      </c>
      <c r="B33" s="22">
        <v>1</v>
      </c>
      <c r="C33" s="22">
        <v>2</v>
      </c>
      <c r="D33" s="22">
        <v>3860</v>
      </c>
      <c r="E33" s="22">
        <v>51</v>
      </c>
      <c r="F33" s="22">
        <v>8610</v>
      </c>
      <c r="G33" s="22">
        <v>74</v>
      </c>
      <c r="H33" s="22">
        <v>161</v>
      </c>
      <c r="I33" s="22">
        <v>174</v>
      </c>
      <c r="J33" s="22">
        <v>0</v>
      </c>
      <c r="K33" s="22">
        <v>26</v>
      </c>
      <c r="L33" s="22">
        <v>26</v>
      </c>
      <c r="M33" s="22">
        <v>1</v>
      </c>
      <c r="N33" s="22">
        <v>1</v>
      </c>
      <c r="O33" s="23" t="s">
        <v>194</v>
      </c>
      <c r="P33" s="23" t="s">
        <v>195</v>
      </c>
      <c r="R33" s="4">
        <v>7</v>
      </c>
      <c r="S33" s="4">
        <v>179.9539963338413</v>
      </c>
      <c r="T33" s="4">
        <v>-0.9539963338413031</v>
      </c>
      <c r="U33"/>
      <c r="V33"/>
      <c r="W33"/>
      <c r="X33"/>
      <c r="Y33"/>
      <c r="Z33"/>
    </row>
    <row r="34" spans="1:26" ht="12.75">
      <c r="A34" s="22">
        <v>2</v>
      </c>
      <c r="B34" s="22">
        <v>2</v>
      </c>
      <c r="C34" s="22">
        <v>2</v>
      </c>
      <c r="D34" s="22">
        <v>3230</v>
      </c>
      <c r="E34" s="22">
        <v>50</v>
      </c>
      <c r="F34" s="22">
        <v>8000</v>
      </c>
      <c r="G34" s="22">
        <v>71</v>
      </c>
      <c r="H34" s="22">
        <v>164</v>
      </c>
      <c r="I34" s="22">
        <v>183</v>
      </c>
      <c r="J34" s="22">
        <v>1</v>
      </c>
      <c r="K34" s="22">
        <v>28</v>
      </c>
      <c r="L34" s="22">
        <v>32</v>
      </c>
      <c r="M34" s="22">
        <v>1</v>
      </c>
      <c r="N34" s="22">
        <v>1</v>
      </c>
      <c r="O34" s="23" t="s">
        <v>194</v>
      </c>
      <c r="P34" s="23" t="s">
        <v>196</v>
      </c>
      <c r="R34" s="4">
        <v>8</v>
      </c>
      <c r="S34" s="4">
        <v>178.58508359283553</v>
      </c>
      <c r="T34" s="4">
        <v>4.414916407164469</v>
      </c>
      <c r="U34"/>
      <c r="V34"/>
      <c r="W34"/>
      <c r="X34"/>
      <c r="Y34"/>
      <c r="Z34"/>
    </row>
    <row r="35" spans="1:26" ht="12.75">
      <c r="A35" s="22">
        <v>18</v>
      </c>
      <c r="B35" s="22">
        <v>1</v>
      </c>
      <c r="C35" s="22">
        <v>2</v>
      </c>
      <c r="D35" s="22">
        <v>3700</v>
      </c>
      <c r="E35" s="22">
        <v>51</v>
      </c>
      <c r="F35" s="22">
        <v>6860</v>
      </c>
      <c r="G35" s="22">
        <v>71</v>
      </c>
      <c r="H35" s="22">
        <v>165</v>
      </c>
      <c r="I35" s="22">
        <v>170</v>
      </c>
      <c r="J35" s="22">
        <v>0</v>
      </c>
      <c r="K35" s="22">
        <v>25</v>
      </c>
      <c r="L35" s="22">
        <v>32</v>
      </c>
      <c r="M35" s="22">
        <v>1</v>
      </c>
      <c r="N35" s="22">
        <v>1</v>
      </c>
      <c r="O35" s="23" t="s">
        <v>194</v>
      </c>
      <c r="P35" s="23" t="s">
        <v>195</v>
      </c>
      <c r="R35" s="4">
        <v>9</v>
      </c>
      <c r="S35" s="4">
        <v>179.9539963338413</v>
      </c>
      <c r="T35" s="4">
        <v>15.046003666158697</v>
      </c>
      <c r="U35"/>
      <c r="V35"/>
      <c r="W35"/>
      <c r="X35"/>
      <c r="Y35"/>
      <c r="Z35"/>
    </row>
    <row r="36" spans="1:26" ht="12.75">
      <c r="A36" s="22">
        <v>12</v>
      </c>
      <c r="B36" s="22">
        <v>1</v>
      </c>
      <c r="C36" s="22">
        <v>2</v>
      </c>
      <c r="D36" s="22">
        <v>2980</v>
      </c>
      <c r="E36" s="22">
        <v>50</v>
      </c>
      <c r="F36" s="22">
        <v>7480</v>
      </c>
      <c r="G36" s="22">
        <v>70</v>
      </c>
      <c r="H36" s="22">
        <v>163</v>
      </c>
      <c r="I36" s="22">
        <v>180</v>
      </c>
      <c r="J36" s="22">
        <v>1</v>
      </c>
      <c r="K36" s="22">
        <v>22</v>
      </c>
      <c r="L36" s="22">
        <v>28</v>
      </c>
      <c r="M36" s="22">
        <v>1</v>
      </c>
      <c r="N36" s="22">
        <v>0</v>
      </c>
      <c r="O36" s="23" t="s">
        <v>194</v>
      </c>
      <c r="P36" s="23" t="s">
        <v>196</v>
      </c>
      <c r="R36" s="4">
        <v>10</v>
      </c>
      <c r="S36" s="4">
        <v>178.58508359283553</v>
      </c>
      <c r="T36" s="4">
        <v>-0.5850835928355309</v>
      </c>
      <c r="U36"/>
      <c r="V36"/>
      <c r="W36"/>
      <c r="X36"/>
      <c r="Y36"/>
      <c r="Z36"/>
    </row>
    <row r="37" spans="1:26" ht="12.75">
      <c r="A37" s="22">
        <v>3</v>
      </c>
      <c r="B37" s="22">
        <v>3</v>
      </c>
      <c r="C37" s="22">
        <v>1</v>
      </c>
      <c r="D37" s="22">
        <v>2820</v>
      </c>
      <c r="E37" s="22">
        <v>49</v>
      </c>
      <c r="F37" s="22">
        <v>6500</v>
      </c>
      <c r="G37" s="22">
        <v>65</v>
      </c>
      <c r="H37" s="22">
        <v>165</v>
      </c>
      <c r="I37" s="22">
        <v>175</v>
      </c>
      <c r="J37" s="22">
        <v>0</v>
      </c>
      <c r="K37" s="22">
        <v>33</v>
      </c>
      <c r="L37" s="22">
        <v>36</v>
      </c>
      <c r="M37" s="22">
        <v>0</v>
      </c>
      <c r="N37" s="22">
        <v>1</v>
      </c>
      <c r="O37" s="23" t="s">
        <v>194</v>
      </c>
      <c r="P37" s="23" t="s">
        <v>196</v>
      </c>
      <c r="R37" s="4">
        <v>11</v>
      </c>
      <c r="S37" s="4">
        <v>180.86660482784512</v>
      </c>
      <c r="T37" s="4">
        <v>-2.866604827845123</v>
      </c>
      <c r="U37"/>
      <c r="V37"/>
      <c r="W37"/>
      <c r="X37"/>
      <c r="Y37"/>
      <c r="Z37"/>
    </row>
    <row r="38" spans="1:26" ht="12.75">
      <c r="A38" s="22">
        <v>18</v>
      </c>
      <c r="B38" s="22">
        <v>1</v>
      </c>
      <c r="C38" s="22">
        <v>1</v>
      </c>
      <c r="D38" s="22">
        <v>3590</v>
      </c>
      <c r="E38" s="22">
        <v>50</v>
      </c>
      <c r="F38" s="22">
        <v>8900</v>
      </c>
      <c r="G38" s="22">
        <v>71</v>
      </c>
      <c r="H38" s="22">
        <v>175</v>
      </c>
      <c r="I38" s="22">
        <v>175</v>
      </c>
      <c r="J38" s="22">
        <v>0</v>
      </c>
      <c r="K38" s="22">
        <v>23</v>
      </c>
      <c r="L38" s="22">
        <v>35</v>
      </c>
      <c r="M38" s="22">
        <v>0</v>
      </c>
      <c r="N38" s="22">
        <v>0</v>
      </c>
      <c r="O38" s="23" t="s">
        <v>194</v>
      </c>
      <c r="P38" s="23" t="s">
        <v>195</v>
      </c>
      <c r="R38" s="4">
        <v>12</v>
      </c>
      <c r="S38" s="4">
        <v>178.58508359283553</v>
      </c>
      <c r="T38" s="4">
        <v>-3.585083592835531</v>
      </c>
      <c r="U38"/>
      <c r="V38"/>
      <c r="W38"/>
      <c r="X38"/>
      <c r="Y38"/>
      <c r="Z38"/>
    </row>
    <row r="39" spans="1:26" ht="12.75">
      <c r="A39" s="22">
        <v>6</v>
      </c>
      <c r="B39" s="22">
        <v>1</v>
      </c>
      <c r="C39" s="22">
        <v>1</v>
      </c>
      <c r="D39" s="22">
        <v>3720</v>
      </c>
      <c r="E39" s="22">
        <v>52</v>
      </c>
      <c r="F39" s="22">
        <v>9950</v>
      </c>
      <c r="G39" s="22">
        <v>78</v>
      </c>
      <c r="H39" s="22">
        <v>164</v>
      </c>
      <c r="I39" s="22">
        <v>190</v>
      </c>
      <c r="J39" s="22">
        <v>0</v>
      </c>
      <c r="K39" s="22">
        <v>23</v>
      </c>
      <c r="L39" s="22">
        <v>24</v>
      </c>
      <c r="M39" s="22">
        <v>0</v>
      </c>
      <c r="N39" s="22">
        <v>0</v>
      </c>
      <c r="O39" s="23" t="s">
        <v>194</v>
      </c>
      <c r="P39" s="23" t="s">
        <v>195</v>
      </c>
      <c r="R39" s="4">
        <v>13</v>
      </c>
      <c r="S39" s="4">
        <v>179.7258442103403</v>
      </c>
      <c r="T39" s="4">
        <v>-6.725844210340313</v>
      </c>
      <c r="U39"/>
      <c r="V39"/>
      <c r="W39"/>
      <c r="X39"/>
      <c r="Y39"/>
      <c r="Z39"/>
    </row>
    <row r="40" spans="1:26" ht="12.75">
      <c r="A40" s="22">
        <v>24</v>
      </c>
      <c r="B40" s="22">
        <v>3</v>
      </c>
      <c r="C40" s="22">
        <v>2</v>
      </c>
      <c r="D40" s="22">
        <v>3300</v>
      </c>
      <c r="E40" s="22">
        <v>50</v>
      </c>
      <c r="F40" s="22">
        <v>7400</v>
      </c>
      <c r="G40" s="22">
        <v>70</v>
      </c>
      <c r="H40" s="22">
        <v>170</v>
      </c>
      <c r="I40" s="22">
        <v>187</v>
      </c>
      <c r="J40" s="22">
        <v>0</v>
      </c>
      <c r="K40" s="22">
        <v>38</v>
      </c>
      <c r="L40" s="22">
        <v>39</v>
      </c>
      <c r="M40" s="22">
        <v>0</v>
      </c>
      <c r="N40" s="22">
        <v>1</v>
      </c>
      <c r="O40" s="23" t="s">
        <v>194</v>
      </c>
      <c r="P40" s="23" t="s">
        <v>196</v>
      </c>
      <c r="R40" s="4">
        <v>14</v>
      </c>
      <c r="S40" s="4">
        <v>180.18214845734224</v>
      </c>
      <c r="T40" s="4">
        <v>-1.1821484573422367</v>
      </c>
      <c r="U40"/>
      <c r="V40"/>
      <c r="W40"/>
      <c r="X40"/>
      <c r="Y40"/>
      <c r="Z40"/>
    </row>
    <row r="41" spans="1:26" ht="12.75">
      <c r="A41" s="22">
        <v>16</v>
      </c>
      <c r="B41" s="22">
        <v>1</v>
      </c>
      <c r="C41" s="22">
        <v>2</v>
      </c>
      <c r="D41" s="22">
        <v>3500</v>
      </c>
      <c r="E41" s="22">
        <v>49</v>
      </c>
      <c r="F41" s="22">
        <v>7980</v>
      </c>
      <c r="G41" s="22">
        <v>70</v>
      </c>
      <c r="H41" s="22">
        <v>171</v>
      </c>
      <c r="I41" s="22">
        <v>180</v>
      </c>
      <c r="J41" s="22">
        <v>0</v>
      </c>
      <c r="K41" s="22">
        <v>25</v>
      </c>
      <c r="L41" s="22">
        <v>25</v>
      </c>
      <c r="M41" s="22">
        <v>0</v>
      </c>
      <c r="N41" s="22">
        <v>1</v>
      </c>
      <c r="O41" s="23" t="s">
        <v>194</v>
      </c>
      <c r="P41" s="23" t="s">
        <v>196</v>
      </c>
      <c r="R41" s="4">
        <v>15</v>
      </c>
      <c r="S41" s="4">
        <v>180.41030058084323</v>
      </c>
      <c r="T41" s="4">
        <v>1.5896994191567728</v>
      </c>
      <c r="U41"/>
      <c r="V41"/>
      <c r="W41"/>
      <c r="X41"/>
      <c r="Y41"/>
      <c r="Z41"/>
    </row>
    <row r="42" spans="1:26" ht="12.75">
      <c r="A42" s="22">
        <v>24</v>
      </c>
      <c r="B42" s="22">
        <v>2</v>
      </c>
      <c r="C42" s="22">
        <v>2</v>
      </c>
      <c r="D42" s="22">
        <v>4000</v>
      </c>
      <c r="E42" s="22">
        <v>54</v>
      </c>
      <c r="F42" s="22">
        <v>9070</v>
      </c>
      <c r="G42" s="22">
        <v>72</v>
      </c>
      <c r="H42" s="22">
        <v>157</v>
      </c>
      <c r="I42" s="22">
        <v>178</v>
      </c>
      <c r="J42" s="22">
        <v>0</v>
      </c>
      <c r="K42" s="22">
        <v>27</v>
      </c>
      <c r="L42" s="22">
        <v>35</v>
      </c>
      <c r="M42" s="22">
        <v>1</v>
      </c>
      <c r="N42" s="22">
        <v>0</v>
      </c>
      <c r="O42" s="23" t="s">
        <v>194</v>
      </c>
      <c r="P42" s="23" t="s">
        <v>195</v>
      </c>
      <c r="R42" s="4">
        <v>16</v>
      </c>
      <c r="S42" s="4">
        <v>183.83258243335763</v>
      </c>
      <c r="T42" s="4">
        <v>-5.832582433357629</v>
      </c>
      <c r="U42"/>
      <c r="V42"/>
      <c r="W42"/>
      <c r="X42"/>
      <c r="Y42"/>
      <c r="Z42"/>
    </row>
    <row r="43" spans="1:26" ht="12.75">
      <c r="A43" s="22">
        <v>8</v>
      </c>
      <c r="B43" s="22">
        <v>1</v>
      </c>
      <c r="C43" s="22">
        <v>1</v>
      </c>
      <c r="D43" s="22">
        <v>4115</v>
      </c>
      <c r="E43" s="22">
        <v>51</v>
      </c>
      <c r="F43" s="22">
        <v>8950</v>
      </c>
      <c r="G43" s="22">
        <v>72</v>
      </c>
      <c r="H43" s="22">
        <v>171</v>
      </c>
      <c r="I43" s="22">
        <v>172</v>
      </c>
      <c r="J43" s="22">
        <v>0</v>
      </c>
      <c r="K43" s="22">
        <v>26</v>
      </c>
      <c r="L43" s="22">
        <v>31</v>
      </c>
      <c r="M43" s="22">
        <v>1</v>
      </c>
      <c r="N43" s="22">
        <v>1</v>
      </c>
      <c r="O43" s="23" t="s">
        <v>194</v>
      </c>
      <c r="P43" s="23" t="s">
        <v>195</v>
      </c>
      <c r="R43" s="4">
        <v>17</v>
      </c>
      <c r="S43" s="4">
        <v>177.67247509883168</v>
      </c>
      <c r="T43" s="4">
        <v>6.327524901168317</v>
      </c>
      <c r="U43"/>
      <c r="V43"/>
      <c r="W43"/>
      <c r="X43"/>
      <c r="Y43"/>
      <c r="Z43"/>
    </row>
    <row r="44" spans="1:26" ht="12.75">
      <c r="A44" s="22">
        <v>24</v>
      </c>
      <c r="B44" s="22">
        <v>1</v>
      </c>
      <c r="C44" s="22">
        <v>2</v>
      </c>
      <c r="D44" s="22">
        <v>3080</v>
      </c>
      <c r="E44" s="22">
        <v>49</v>
      </c>
      <c r="F44" s="22">
        <v>6000</v>
      </c>
      <c r="G44" s="22">
        <v>64</v>
      </c>
      <c r="H44" s="22">
        <v>163</v>
      </c>
      <c r="I44" s="22">
        <v>182</v>
      </c>
      <c r="J44" s="22">
        <v>1</v>
      </c>
      <c r="K44" s="22">
        <v>27</v>
      </c>
      <c r="L44" s="22">
        <v>27</v>
      </c>
      <c r="M44" s="22">
        <v>0</v>
      </c>
      <c r="N44" s="22">
        <v>1</v>
      </c>
      <c r="O44" s="23" t="s">
        <v>194</v>
      </c>
      <c r="P44" s="23" t="s">
        <v>196</v>
      </c>
      <c r="R44" s="4">
        <v>18</v>
      </c>
      <c r="S44" s="4">
        <v>178.8132357163365</v>
      </c>
      <c r="T44" s="4">
        <v>2.186764283663507</v>
      </c>
      <c r="U44"/>
      <c r="V44"/>
      <c r="W44"/>
      <c r="X44"/>
      <c r="Y44"/>
      <c r="Z44"/>
    </row>
    <row r="45" spans="1:26" ht="12.75">
      <c r="A45" s="22">
        <v>5</v>
      </c>
      <c r="B45" s="22">
        <v>3</v>
      </c>
      <c r="C45" s="22">
        <v>1</v>
      </c>
      <c r="D45" s="22">
        <v>3020</v>
      </c>
      <c r="E45" s="22">
        <v>48</v>
      </c>
      <c r="F45" s="22">
        <v>6950</v>
      </c>
      <c r="G45" s="22">
        <v>66</v>
      </c>
      <c r="H45" s="22">
        <v>165</v>
      </c>
      <c r="I45" s="22">
        <v>166</v>
      </c>
      <c r="J45" s="22">
        <v>0</v>
      </c>
      <c r="K45" s="22">
        <v>34</v>
      </c>
      <c r="L45" s="22">
        <v>42</v>
      </c>
      <c r="M45" s="22">
        <v>0</v>
      </c>
      <c r="N45" s="22">
        <v>0</v>
      </c>
      <c r="O45" s="23" t="s">
        <v>194</v>
      </c>
      <c r="P45" s="23" t="s">
        <v>196</v>
      </c>
      <c r="R45" s="4">
        <v>19</v>
      </c>
      <c r="S45" s="4">
        <v>179.26953996333842</v>
      </c>
      <c r="T45" s="4">
        <v>-12.269539963338417</v>
      </c>
      <c r="U45"/>
      <c r="V45"/>
      <c r="W45"/>
      <c r="X45"/>
      <c r="Y45"/>
      <c r="Z45"/>
    </row>
    <row r="46" spans="1:26" ht="12.75">
      <c r="A46" s="22">
        <v>24</v>
      </c>
      <c r="B46" s="22">
        <v>2</v>
      </c>
      <c r="C46" s="22">
        <v>3</v>
      </c>
      <c r="D46" s="22">
        <v>3480</v>
      </c>
      <c r="E46" s="22">
        <v>51</v>
      </c>
      <c r="F46" s="22">
        <v>8310</v>
      </c>
      <c r="G46" s="22">
        <v>66</v>
      </c>
      <c r="H46" s="22">
        <v>174</v>
      </c>
      <c r="I46" s="22">
        <v>185</v>
      </c>
      <c r="J46" s="22">
        <v>1</v>
      </c>
      <c r="K46" s="22">
        <v>32</v>
      </c>
      <c r="L46" s="22">
        <v>32</v>
      </c>
      <c r="M46" s="22">
        <v>1</v>
      </c>
      <c r="N46" s="22">
        <v>1</v>
      </c>
      <c r="O46" s="23" t="s">
        <v>194</v>
      </c>
      <c r="P46" s="23" t="s">
        <v>196</v>
      </c>
      <c r="R46" s="4">
        <v>20</v>
      </c>
      <c r="S46" s="4">
        <v>179.9539963338413</v>
      </c>
      <c r="T46" s="4">
        <v>-9.953996333841303</v>
      </c>
      <c r="U46"/>
      <c r="V46"/>
      <c r="W46"/>
      <c r="X46"/>
      <c r="Y46"/>
      <c r="Z46"/>
    </row>
    <row r="47" spans="1:26" ht="12.75">
      <c r="A47" s="22">
        <v>12</v>
      </c>
      <c r="B47" s="22">
        <v>2</v>
      </c>
      <c r="C47" s="22">
        <v>1</v>
      </c>
      <c r="D47" s="22">
        <v>3730</v>
      </c>
      <c r="E47" s="22">
        <v>50</v>
      </c>
      <c r="F47" s="22">
        <v>8750</v>
      </c>
      <c r="G47" s="22">
        <v>69</v>
      </c>
      <c r="H47" s="22">
        <v>162</v>
      </c>
      <c r="I47" s="22">
        <v>170</v>
      </c>
      <c r="J47" s="22">
        <v>0</v>
      </c>
      <c r="K47" s="22">
        <v>23</v>
      </c>
      <c r="L47" s="22">
        <v>28</v>
      </c>
      <c r="M47" s="22">
        <v>1</v>
      </c>
      <c r="N47" s="22">
        <v>1</v>
      </c>
      <c r="O47" s="23" t="s">
        <v>194</v>
      </c>
      <c r="P47" s="23" t="s">
        <v>195</v>
      </c>
      <c r="R47" s="4">
        <v>21</v>
      </c>
      <c r="S47" s="4">
        <v>179.9539963338413</v>
      </c>
      <c r="T47" s="4">
        <v>5.046003666158697</v>
      </c>
      <c r="U47"/>
      <c r="V47"/>
      <c r="W47"/>
      <c r="X47"/>
      <c r="Y47"/>
      <c r="Z47"/>
    </row>
    <row r="48" spans="1:26" ht="12.75">
      <c r="A48" s="22">
        <v>16</v>
      </c>
      <c r="B48" s="22">
        <v>2</v>
      </c>
      <c r="C48" s="22">
        <v>1</v>
      </c>
      <c r="D48" s="22">
        <v>3250</v>
      </c>
      <c r="E48" s="22">
        <v>50</v>
      </c>
      <c r="F48" s="22">
        <v>7950</v>
      </c>
      <c r="G48" s="22">
        <v>64</v>
      </c>
      <c r="H48" s="22">
        <v>166</v>
      </c>
      <c r="I48" s="22">
        <v>178</v>
      </c>
      <c r="J48" s="22">
        <v>0</v>
      </c>
      <c r="K48" s="22">
        <v>26</v>
      </c>
      <c r="L48" s="22">
        <v>30</v>
      </c>
      <c r="M48" s="22">
        <v>1</v>
      </c>
      <c r="N48" s="22">
        <v>0</v>
      </c>
      <c r="O48" s="23" t="s">
        <v>194</v>
      </c>
      <c r="P48" s="23" t="s">
        <v>195</v>
      </c>
      <c r="R48" s="4">
        <v>22</v>
      </c>
      <c r="S48" s="4">
        <v>176.07541023432498</v>
      </c>
      <c r="T48" s="4">
        <v>0.924589765675023</v>
      </c>
      <c r="U48"/>
      <c r="V48"/>
      <c r="W48"/>
      <c r="X48"/>
      <c r="Y48"/>
      <c r="Z48"/>
    </row>
    <row r="49" spans="1:26" ht="12.75">
      <c r="A49" s="22">
        <v>18</v>
      </c>
      <c r="B49" s="22">
        <v>1</v>
      </c>
      <c r="C49" s="22">
        <v>2</v>
      </c>
      <c r="D49" s="22">
        <v>2880</v>
      </c>
      <c r="E49" s="22">
        <v>49</v>
      </c>
      <c r="F49" s="22">
        <v>7150</v>
      </c>
      <c r="G49" s="22">
        <v>67</v>
      </c>
      <c r="H49" s="22">
        <v>162</v>
      </c>
      <c r="I49" s="22">
        <v>192</v>
      </c>
      <c r="J49" s="22">
        <v>0</v>
      </c>
      <c r="K49" s="22">
        <v>20</v>
      </c>
      <c r="L49" s="22">
        <v>21</v>
      </c>
      <c r="M49" s="22">
        <v>1</v>
      </c>
      <c r="N49" s="22">
        <v>0</v>
      </c>
      <c r="O49" s="23" t="s">
        <v>194</v>
      </c>
      <c r="P49" s="23" t="s">
        <v>196</v>
      </c>
      <c r="R49" s="4">
        <v>23</v>
      </c>
      <c r="S49" s="4">
        <v>177.21617085182976</v>
      </c>
      <c r="T49" s="4">
        <v>-15.216170851829759</v>
      </c>
      <c r="U49"/>
      <c r="V49"/>
      <c r="W49"/>
      <c r="X49"/>
      <c r="Y49"/>
      <c r="Z49"/>
    </row>
    <row r="50" spans="1:26" ht="12.75">
      <c r="A50" s="22">
        <v>24</v>
      </c>
      <c r="B50" s="22">
        <v>1</v>
      </c>
      <c r="C50" s="22">
        <v>1</v>
      </c>
      <c r="D50" s="22">
        <v>4000</v>
      </c>
      <c r="E50" s="22">
        <v>52</v>
      </c>
      <c r="F50" s="22">
        <v>8000</v>
      </c>
      <c r="G50" s="22">
        <v>68</v>
      </c>
      <c r="H50" s="22">
        <v>174</v>
      </c>
      <c r="I50" s="22">
        <v>176</v>
      </c>
      <c r="J50" s="22">
        <v>0</v>
      </c>
      <c r="K50" s="22">
        <v>20</v>
      </c>
      <c r="L50" s="22">
        <v>20</v>
      </c>
      <c r="M50" s="22">
        <v>1</v>
      </c>
      <c r="N50" s="22">
        <v>0</v>
      </c>
      <c r="O50" s="23" t="s">
        <v>194</v>
      </c>
      <c r="P50" s="23" t="s">
        <v>195</v>
      </c>
      <c r="R50" s="4">
        <v>24</v>
      </c>
      <c r="S50" s="4">
        <v>179.49769208683938</v>
      </c>
      <c r="T50" s="4">
        <v>-6.497692086839379</v>
      </c>
      <c r="U50"/>
      <c r="V50"/>
      <c r="W50"/>
      <c r="X50"/>
      <c r="Y50"/>
      <c r="Z50"/>
    </row>
    <row r="51" spans="1:26" ht="12.75">
      <c r="A51" s="22">
        <v>24</v>
      </c>
      <c r="B51" s="22">
        <v>1</v>
      </c>
      <c r="C51" s="22">
        <v>2</v>
      </c>
      <c r="D51" s="22">
        <v>3960</v>
      </c>
      <c r="E51" s="22">
        <v>52</v>
      </c>
      <c r="F51" s="22">
        <v>9100</v>
      </c>
      <c r="G51" s="22">
        <v>70</v>
      </c>
      <c r="H51" s="22">
        <v>170</v>
      </c>
      <c r="I51" s="22">
        <v>172</v>
      </c>
      <c r="J51" s="22">
        <v>0</v>
      </c>
      <c r="K51" s="22">
        <v>21</v>
      </c>
      <c r="L51" s="22">
        <v>21</v>
      </c>
      <c r="M51" s="22">
        <v>1</v>
      </c>
      <c r="N51" s="22">
        <v>1</v>
      </c>
      <c r="O51" s="23" t="s">
        <v>194</v>
      </c>
      <c r="P51" s="23" t="s">
        <v>195</v>
      </c>
      <c r="R51" s="4">
        <v>25</v>
      </c>
      <c r="S51" s="4">
        <v>181.77921332184897</v>
      </c>
      <c r="T51" s="4">
        <v>4.220786678151029</v>
      </c>
      <c r="U51"/>
      <c r="V51"/>
      <c r="W51"/>
      <c r="X51"/>
      <c r="Y51"/>
      <c r="Z51"/>
    </row>
    <row r="52" spans="1:26" ht="12.75">
      <c r="A52" s="22">
        <v>6</v>
      </c>
      <c r="B52" s="22">
        <v>2</v>
      </c>
      <c r="C52" s="22">
        <v>1</v>
      </c>
      <c r="D52" s="22">
        <v>3730</v>
      </c>
      <c r="E52" s="22">
        <v>52</v>
      </c>
      <c r="F52" s="22">
        <v>8500</v>
      </c>
      <c r="G52" s="22">
        <v>72</v>
      </c>
      <c r="H52" s="22">
        <v>172</v>
      </c>
      <c r="I52" s="22">
        <v>182</v>
      </c>
      <c r="J52" s="22">
        <v>0</v>
      </c>
      <c r="K52" s="22">
        <v>24</v>
      </c>
      <c r="L52" s="22">
        <v>28</v>
      </c>
      <c r="M52" s="22">
        <v>1</v>
      </c>
      <c r="N52" s="22">
        <v>1</v>
      </c>
      <c r="O52" s="23" t="s">
        <v>194</v>
      </c>
      <c r="P52" s="23" t="s">
        <v>196</v>
      </c>
      <c r="R52" s="4">
        <v>26</v>
      </c>
      <c r="S52" s="4">
        <v>179.9539963338413</v>
      </c>
      <c r="T52" s="4">
        <v>-1.9539963338413031</v>
      </c>
      <c r="U52"/>
      <c r="V52"/>
      <c r="W52"/>
      <c r="X52"/>
      <c r="Y52"/>
      <c r="Z52"/>
    </row>
    <row r="53" spans="1:26" ht="12.75">
      <c r="A53" s="22">
        <v>4</v>
      </c>
      <c r="B53" s="22">
        <v>1</v>
      </c>
      <c r="C53" s="22">
        <v>1</v>
      </c>
      <c r="D53" s="22">
        <v>3330</v>
      </c>
      <c r="E53" s="22">
        <v>52</v>
      </c>
      <c r="F53" s="22">
        <v>6750</v>
      </c>
      <c r="G53" s="22">
        <v>65</v>
      </c>
      <c r="H53" s="22">
        <v>165</v>
      </c>
      <c r="I53" s="22">
        <v>174</v>
      </c>
      <c r="J53" s="22">
        <v>0</v>
      </c>
      <c r="K53" s="22">
        <v>19</v>
      </c>
      <c r="L53" s="22">
        <v>20</v>
      </c>
      <c r="M53" s="22">
        <v>1</v>
      </c>
      <c r="N53" s="22">
        <v>1</v>
      </c>
      <c r="O53" s="23" t="s">
        <v>194</v>
      </c>
      <c r="P53" s="23" t="s">
        <v>196</v>
      </c>
      <c r="R53" s="4">
        <v>27</v>
      </c>
      <c r="S53" s="4">
        <v>179.9539963338413</v>
      </c>
      <c r="T53" s="4">
        <v>0.04600366615869689</v>
      </c>
      <c r="U53"/>
      <c r="V53"/>
      <c r="W53"/>
      <c r="X53"/>
      <c r="Y53"/>
      <c r="Z53"/>
    </row>
    <row r="54" spans="1:26" ht="12.75">
      <c r="A54" s="22">
        <v>12</v>
      </c>
      <c r="B54" s="22">
        <v>2</v>
      </c>
      <c r="C54" s="22">
        <v>3</v>
      </c>
      <c r="D54" s="22">
        <v>3150</v>
      </c>
      <c r="E54" s="22">
        <v>49</v>
      </c>
      <c r="F54" s="22">
        <v>7850</v>
      </c>
      <c r="G54" s="22">
        <v>71</v>
      </c>
      <c r="H54" s="22">
        <v>165</v>
      </c>
      <c r="I54" s="22">
        <v>191</v>
      </c>
      <c r="J54" s="22">
        <v>0</v>
      </c>
      <c r="K54" s="22">
        <v>29</v>
      </c>
      <c r="L54" s="22">
        <v>37</v>
      </c>
      <c r="M54" s="22">
        <v>1</v>
      </c>
      <c r="N54" s="22">
        <v>1</v>
      </c>
      <c r="O54" s="23" t="s">
        <v>194</v>
      </c>
      <c r="P54" s="23" t="s">
        <v>196</v>
      </c>
      <c r="R54" s="4">
        <v>28</v>
      </c>
      <c r="S54" s="4">
        <v>176.75986660482783</v>
      </c>
      <c r="T54" s="4">
        <v>1.2401333951721654</v>
      </c>
      <c r="U54"/>
      <c r="V54"/>
      <c r="W54"/>
      <c r="X54"/>
      <c r="Y54"/>
      <c r="Z54"/>
    </row>
    <row r="55" spans="1:26" ht="12.75">
      <c r="A55" s="22">
        <v>10</v>
      </c>
      <c r="B55" s="22">
        <v>2</v>
      </c>
      <c r="C55" s="22">
        <v>2</v>
      </c>
      <c r="D55" s="22">
        <v>3300</v>
      </c>
      <c r="E55" s="22">
        <v>49</v>
      </c>
      <c r="F55" s="22">
        <v>7100</v>
      </c>
      <c r="G55" s="22">
        <v>65</v>
      </c>
      <c r="H55" s="22">
        <v>170</v>
      </c>
      <c r="I55" s="22">
        <v>186</v>
      </c>
      <c r="J55" s="22">
        <v>0</v>
      </c>
      <c r="K55" s="22">
        <v>24</v>
      </c>
      <c r="L55" s="22">
        <v>25</v>
      </c>
      <c r="M55" s="22">
        <v>1</v>
      </c>
      <c r="N55" s="22">
        <v>1</v>
      </c>
      <c r="O55" s="23" t="s">
        <v>197</v>
      </c>
      <c r="P55" s="23" t="s">
        <v>195</v>
      </c>
      <c r="R55" s="4">
        <v>29</v>
      </c>
      <c r="S55" s="4">
        <v>179.9539963338413</v>
      </c>
      <c r="T55" s="4">
        <v>5.046003666158697</v>
      </c>
      <c r="U55"/>
      <c r="V55"/>
      <c r="W55"/>
      <c r="X55"/>
      <c r="Y55"/>
      <c r="Z55"/>
    </row>
    <row r="56" spans="1:26" ht="12.75">
      <c r="A56" s="22">
        <v>24</v>
      </c>
      <c r="B56" s="22">
        <v>1</v>
      </c>
      <c r="C56" s="22">
        <v>2</v>
      </c>
      <c r="D56" s="22">
        <v>3650</v>
      </c>
      <c r="E56" s="22">
        <v>52</v>
      </c>
      <c r="F56" s="22">
        <v>8380</v>
      </c>
      <c r="G56" s="22">
        <v>72</v>
      </c>
      <c r="H56" s="22">
        <v>170</v>
      </c>
      <c r="I56" s="22">
        <v>185</v>
      </c>
      <c r="J56" s="22">
        <v>1</v>
      </c>
      <c r="K56" s="22">
        <v>25</v>
      </c>
      <c r="L56" s="22">
        <v>28</v>
      </c>
      <c r="M56" s="22">
        <v>0</v>
      </c>
      <c r="N56" s="22">
        <v>1</v>
      </c>
      <c r="O56" s="23" t="s">
        <v>194</v>
      </c>
      <c r="P56" s="23" t="s">
        <v>195</v>
      </c>
      <c r="R56" s="4">
        <v>30</v>
      </c>
      <c r="S56" s="4">
        <v>178.58508359283553</v>
      </c>
      <c r="T56" s="4">
        <v>-10.585083592835531</v>
      </c>
      <c r="U56"/>
      <c r="V56"/>
      <c r="W56"/>
      <c r="X56"/>
      <c r="Y56"/>
      <c r="Z56"/>
    </row>
    <row r="57" spans="1:26" ht="12.75">
      <c r="A57" s="22">
        <v>18</v>
      </c>
      <c r="B57" s="22">
        <v>2</v>
      </c>
      <c r="C57" s="22">
        <v>2</v>
      </c>
      <c r="D57" s="22">
        <v>4400</v>
      </c>
      <c r="E57" s="22">
        <v>53</v>
      </c>
      <c r="F57" s="22">
        <v>7000</v>
      </c>
      <c r="G57" s="22">
        <v>68</v>
      </c>
      <c r="H57" s="22">
        <v>174</v>
      </c>
      <c r="I57" s="22">
        <v>189</v>
      </c>
      <c r="J57" s="22">
        <v>0</v>
      </c>
      <c r="K57" s="22">
        <v>30</v>
      </c>
      <c r="L57" s="22">
        <v>31</v>
      </c>
      <c r="M57" s="22">
        <v>1</v>
      </c>
      <c r="N57" s="22">
        <v>0</v>
      </c>
      <c r="O57" s="23" t="s">
        <v>194</v>
      </c>
      <c r="P57" s="23" t="s">
        <v>195</v>
      </c>
      <c r="R57" s="4">
        <v>31</v>
      </c>
      <c r="S57" s="4">
        <v>178.58508359283553</v>
      </c>
      <c r="T57" s="4">
        <v>15.414916407164469</v>
      </c>
      <c r="U57"/>
      <c r="V57"/>
      <c r="W57"/>
      <c r="X57"/>
      <c r="Y57"/>
      <c r="Z57"/>
    </row>
    <row r="58" spans="1:26" ht="12.75">
      <c r="A58" s="22">
        <v>24</v>
      </c>
      <c r="B58" s="22">
        <v>3</v>
      </c>
      <c r="C58" s="22">
        <v>3</v>
      </c>
      <c r="D58" s="22">
        <v>4000</v>
      </c>
      <c r="E58" s="22">
        <v>52</v>
      </c>
      <c r="F58" s="22">
        <v>7800</v>
      </c>
      <c r="G58" s="22">
        <v>72</v>
      </c>
      <c r="H58" s="22">
        <v>165</v>
      </c>
      <c r="I58" s="22">
        <v>178</v>
      </c>
      <c r="J58" s="22">
        <v>1</v>
      </c>
      <c r="K58" s="22">
        <v>28</v>
      </c>
      <c r="L58" s="22">
        <v>31</v>
      </c>
      <c r="M58" s="22">
        <v>1</v>
      </c>
      <c r="N58" s="22">
        <v>0</v>
      </c>
      <c r="O58" s="23" t="s">
        <v>194</v>
      </c>
      <c r="P58" s="23" t="s">
        <v>195</v>
      </c>
      <c r="R58" s="4">
        <v>32</v>
      </c>
      <c r="S58" s="4">
        <v>177.90062722233264</v>
      </c>
      <c r="T58" s="4">
        <v>-3.900627222332645</v>
      </c>
      <c r="U58"/>
      <c r="V58"/>
      <c r="W58"/>
      <c r="X58"/>
      <c r="Y58"/>
      <c r="Z58"/>
    </row>
    <row r="59" spans="1:26" ht="12.75">
      <c r="A59" s="22">
        <v>24</v>
      </c>
      <c r="B59" s="22">
        <v>1</v>
      </c>
      <c r="C59" s="22">
        <v>1</v>
      </c>
      <c r="D59" s="22">
        <v>3530</v>
      </c>
      <c r="E59" s="22">
        <v>50</v>
      </c>
      <c r="F59" s="22">
        <v>6950</v>
      </c>
      <c r="G59" s="22">
        <v>65</v>
      </c>
      <c r="H59" s="22">
        <v>175</v>
      </c>
      <c r="I59" s="22">
        <v>186</v>
      </c>
      <c r="J59" s="22">
        <v>0</v>
      </c>
      <c r="K59" s="22">
        <v>20</v>
      </c>
      <c r="L59" s="22">
        <v>29</v>
      </c>
      <c r="M59" s="22">
        <v>1</v>
      </c>
      <c r="N59" s="22">
        <v>1</v>
      </c>
      <c r="O59" s="23" t="s">
        <v>197</v>
      </c>
      <c r="P59" s="23" t="s">
        <v>196</v>
      </c>
      <c r="R59" s="4">
        <v>33</v>
      </c>
      <c r="S59" s="4">
        <v>178.58508359283553</v>
      </c>
      <c r="T59" s="4">
        <v>4.414916407164469</v>
      </c>
      <c r="U59"/>
      <c r="V59"/>
      <c r="W59"/>
      <c r="X59"/>
      <c r="Y59"/>
      <c r="Z59"/>
    </row>
    <row r="60" spans="1:26" ht="12.75">
      <c r="A60" s="22">
        <v>6</v>
      </c>
      <c r="B60" s="22">
        <v>1</v>
      </c>
      <c r="C60" s="22">
        <v>3</v>
      </c>
      <c r="D60" s="22">
        <v>3550</v>
      </c>
      <c r="E60" s="22">
        <v>48</v>
      </c>
      <c r="F60" s="22">
        <v>6100</v>
      </c>
      <c r="G60" s="22">
        <v>64</v>
      </c>
      <c r="H60" s="22">
        <v>175</v>
      </c>
      <c r="I60" s="22">
        <v>186</v>
      </c>
      <c r="J60" s="22">
        <v>0</v>
      </c>
      <c r="K60" s="22">
        <v>23</v>
      </c>
      <c r="L60" s="22">
        <v>32</v>
      </c>
      <c r="M60" s="22">
        <v>1</v>
      </c>
      <c r="N60" s="22">
        <v>1</v>
      </c>
      <c r="O60" s="23" t="s">
        <v>197</v>
      </c>
      <c r="P60" s="23" t="s">
        <v>196</v>
      </c>
      <c r="R60" s="4">
        <v>34</v>
      </c>
      <c r="S60" s="4">
        <v>178.8132357163365</v>
      </c>
      <c r="T60" s="4">
        <v>-8.813235716336493</v>
      </c>
      <c r="U60"/>
      <c r="V60"/>
      <c r="W60"/>
      <c r="X60"/>
      <c r="Y60"/>
      <c r="Z60"/>
    </row>
    <row r="61" spans="1:26" ht="12.75">
      <c r="A61" s="22">
        <v>24</v>
      </c>
      <c r="B61" s="22">
        <v>3</v>
      </c>
      <c r="C61" s="22">
        <v>3</v>
      </c>
      <c r="D61" s="22">
        <v>3980</v>
      </c>
      <c r="E61" s="22">
        <v>51</v>
      </c>
      <c r="F61" s="22">
        <v>7770</v>
      </c>
      <c r="G61" s="22">
        <v>68</v>
      </c>
      <c r="H61" s="22">
        <v>171</v>
      </c>
      <c r="I61" s="22">
        <v>187</v>
      </c>
      <c r="J61" s="22">
        <v>1</v>
      </c>
      <c r="K61" s="22">
        <v>33</v>
      </c>
      <c r="L61" s="22">
        <v>34</v>
      </c>
      <c r="M61" s="22">
        <v>1</v>
      </c>
      <c r="N61" s="22">
        <v>1</v>
      </c>
      <c r="O61" s="23" t="s">
        <v>194</v>
      </c>
      <c r="P61" s="23" t="s">
        <v>196</v>
      </c>
      <c r="R61" s="4">
        <v>35</v>
      </c>
      <c r="S61" s="4">
        <v>178.35693146933457</v>
      </c>
      <c r="T61" s="4">
        <v>1.6430685306654311</v>
      </c>
      <c r="U61"/>
      <c r="V61"/>
      <c r="W61"/>
      <c r="X61"/>
      <c r="Y61"/>
      <c r="Z61"/>
    </row>
    <row r="62" spans="1:26" ht="12.75">
      <c r="A62" s="22">
        <v>24</v>
      </c>
      <c r="B62" s="22">
        <v>1</v>
      </c>
      <c r="C62" s="22">
        <v>2</v>
      </c>
      <c r="D62" s="22">
        <v>3460</v>
      </c>
      <c r="E62" s="22">
        <v>49</v>
      </c>
      <c r="F62" s="22">
        <v>7310</v>
      </c>
      <c r="G62" s="22">
        <v>68</v>
      </c>
      <c r="H62" s="22">
        <v>167</v>
      </c>
      <c r="I62" s="22">
        <v>183</v>
      </c>
      <c r="J62" s="22">
        <v>1</v>
      </c>
      <c r="K62" s="22">
        <v>24</v>
      </c>
      <c r="L62" s="22">
        <v>33</v>
      </c>
      <c r="M62" s="22">
        <v>0</v>
      </c>
      <c r="N62" s="22">
        <v>1</v>
      </c>
      <c r="O62" s="23" t="s">
        <v>194</v>
      </c>
      <c r="P62" s="23" t="s">
        <v>196</v>
      </c>
      <c r="R62" s="4">
        <v>36</v>
      </c>
      <c r="S62" s="4">
        <v>178.8132357163365</v>
      </c>
      <c r="T62" s="4">
        <v>-3.813235716336493</v>
      </c>
      <c r="U62"/>
      <c r="V62"/>
      <c r="W62"/>
      <c r="X62"/>
      <c r="Y62"/>
      <c r="Z62"/>
    </row>
    <row r="63" spans="1:26" ht="12.75">
      <c r="A63" s="22">
        <v>24</v>
      </c>
      <c r="B63" s="22">
        <v>2</v>
      </c>
      <c r="C63" s="22">
        <v>3</v>
      </c>
      <c r="D63" s="22">
        <v>3720</v>
      </c>
      <c r="E63" s="22">
        <v>52</v>
      </c>
      <c r="F63" s="22">
        <v>8300</v>
      </c>
      <c r="G63" s="22">
        <v>69</v>
      </c>
      <c r="H63" s="22">
        <v>158</v>
      </c>
      <c r="I63" s="22">
        <v>178</v>
      </c>
      <c r="J63" s="22">
        <v>0</v>
      </c>
      <c r="K63" s="22">
        <v>29</v>
      </c>
      <c r="L63" s="22">
        <v>30</v>
      </c>
      <c r="M63" s="22">
        <v>1</v>
      </c>
      <c r="N63" s="22">
        <v>1</v>
      </c>
      <c r="O63" s="23" t="s">
        <v>194</v>
      </c>
      <c r="P63" s="23" t="s">
        <v>195</v>
      </c>
      <c r="R63" s="4">
        <v>37</v>
      </c>
      <c r="S63" s="4">
        <v>181.09475695134608</v>
      </c>
      <c r="T63" s="4">
        <v>-6.094756951346085</v>
      </c>
      <c r="U63"/>
      <c r="V63"/>
      <c r="W63"/>
      <c r="X63"/>
      <c r="Y63"/>
      <c r="Z63"/>
    </row>
    <row r="64" spans="1:26" ht="12.75">
      <c r="A64" s="22">
        <v>24</v>
      </c>
      <c r="B64" s="22">
        <v>2</v>
      </c>
      <c r="C64" s="22">
        <v>2</v>
      </c>
      <c r="D64" s="22">
        <v>2450</v>
      </c>
      <c r="E64" s="22">
        <v>47</v>
      </c>
      <c r="F64" s="22">
        <v>6620</v>
      </c>
      <c r="G64" s="22">
        <v>65</v>
      </c>
      <c r="H64" s="22">
        <v>154</v>
      </c>
      <c r="I64" s="22">
        <v>174</v>
      </c>
      <c r="J64" s="22">
        <v>0</v>
      </c>
      <c r="K64" s="22">
        <v>27</v>
      </c>
      <c r="L64" s="22">
        <v>27</v>
      </c>
      <c r="M64" s="22">
        <v>0</v>
      </c>
      <c r="N64" s="22">
        <v>1</v>
      </c>
      <c r="O64" s="23" t="s">
        <v>194</v>
      </c>
      <c r="P64" s="23" t="s">
        <v>195</v>
      </c>
      <c r="R64" s="4">
        <v>38</v>
      </c>
      <c r="S64" s="4">
        <v>178.58508359283553</v>
      </c>
      <c r="T64" s="4">
        <v>11.414916407164469</v>
      </c>
      <c r="U64"/>
      <c r="V64"/>
      <c r="W64"/>
      <c r="X64"/>
      <c r="Y64"/>
      <c r="Z64"/>
    </row>
    <row r="65" spans="1:26" ht="12.75">
      <c r="A65" s="22">
        <v>8</v>
      </c>
      <c r="B65" s="22">
        <v>1</v>
      </c>
      <c r="C65" s="22">
        <v>1</v>
      </c>
      <c r="D65" s="22">
        <v>3190</v>
      </c>
      <c r="E65" s="22">
        <v>49</v>
      </c>
      <c r="F65" s="22">
        <v>7100</v>
      </c>
      <c r="G65" s="22">
        <v>66</v>
      </c>
      <c r="H65" s="22">
        <v>172</v>
      </c>
      <c r="I65" s="22">
        <v>183</v>
      </c>
      <c r="J65" s="22">
        <v>0</v>
      </c>
      <c r="K65" s="22">
        <v>21</v>
      </c>
      <c r="L65" s="22">
        <v>39</v>
      </c>
      <c r="M65" s="22">
        <v>1</v>
      </c>
      <c r="N65" s="22">
        <v>0</v>
      </c>
      <c r="O65" s="23" t="s">
        <v>194</v>
      </c>
      <c r="P65" s="23" t="s">
        <v>195</v>
      </c>
      <c r="R65" s="4">
        <v>39</v>
      </c>
      <c r="S65" s="4">
        <v>179.9539963338413</v>
      </c>
      <c r="T65" s="4">
        <v>7.046003666158697</v>
      </c>
      <c r="U65"/>
      <c r="V65"/>
      <c r="W65"/>
      <c r="X65"/>
      <c r="Y65"/>
      <c r="Z65"/>
    </row>
    <row r="66" spans="1:26" ht="12.75">
      <c r="A66" s="22">
        <v>14</v>
      </c>
      <c r="B66" s="22">
        <v>1</v>
      </c>
      <c r="C66" s="22">
        <v>2</v>
      </c>
      <c r="D66" s="22">
        <v>3600</v>
      </c>
      <c r="E66" s="22">
        <v>51</v>
      </c>
      <c r="F66" s="22">
        <v>8330</v>
      </c>
      <c r="G66" s="22">
        <v>67</v>
      </c>
      <c r="H66" s="22">
        <v>169</v>
      </c>
      <c r="I66" s="22">
        <v>179</v>
      </c>
      <c r="J66" s="22">
        <v>1</v>
      </c>
      <c r="K66" s="22">
        <v>21</v>
      </c>
      <c r="L66" s="22">
        <v>22</v>
      </c>
      <c r="M66" s="22">
        <v>1</v>
      </c>
      <c r="N66" s="22">
        <v>0</v>
      </c>
      <c r="O66" s="23" t="s">
        <v>197</v>
      </c>
      <c r="P66" s="23" t="s">
        <v>195</v>
      </c>
      <c r="R66" s="4">
        <v>40</v>
      </c>
      <c r="S66" s="4">
        <v>180.18214845734224</v>
      </c>
      <c r="T66" s="4">
        <v>-0.18214845734223672</v>
      </c>
      <c r="U66"/>
      <c r="V66"/>
      <c r="W66"/>
      <c r="X66"/>
      <c r="Y66"/>
      <c r="Z66"/>
    </row>
    <row r="67" spans="1:26" ht="12.75">
      <c r="A67" s="22">
        <v>16</v>
      </c>
      <c r="B67" s="22">
        <v>1</v>
      </c>
      <c r="C67" s="22">
        <v>2</v>
      </c>
      <c r="D67" s="22">
        <v>2900</v>
      </c>
      <c r="E67" s="22">
        <v>49</v>
      </c>
      <c r="F67" s="22">
        <v>8100</v>
      </c>
      <c r="G67" s="22">
        <v>67</v>
      </c>
      <c r="H67" s="22">
        <v>154</v>
      </c>
      <c r="I67" s="22">
        <v>173</v>
      </c>
      <c r="J67" s="22">
        <v>1</v>
      </c>
      <c r="K67" s="22">
        <v>26</v>
      </c>
      <c r="L67" s="22">
        <v>28</v>
      </c>
      <c r="M67" s="22">
        <v>1</v>
      </c>
      <c r="N67" s="22">
        <v>1</v>
      </c>
      <c r="O67" s="23" t="s">
        <v>197</v>
      </c>
      <c r="P67" s="23" t="s">
        <v>195</v>
      </c>
      <c r="R67" s="4">
        <v>41</v>
      </c>
      <c r="S67" s="4">
        <v>176.9880187283288</v>
      </c>
      <c r="T67" s="4">
        <v>1.0119812716712033</v>
      </c>
      <c r="U67"/>
      <c r="V67"/>
      <c r="W67"/>
      <c r="X67"/>
      <c r="Y67"/>
      <c r="Z67"/>
    </row>
    <row r="68" spans="1:26" ht="12.75">
      <c r="A68" s="22">
        <v>11</v>
      </c>
      <c r="B68" s="22">
        <v>1</v>
      </c>
      <c r="C68" s="22">
        <v>1</v>
      </c>
      <c r="D68" s="22">
        <v>2850</v>
      </c>
      <c r="E68" s="22">
        <v>50</v>
      </c>
      <c r="F68" s="22">
        <v>6750</v>
      </c>
      <c r="G68" s="22">
        <v>64</v>
      </c>
      <c r="H68" s="22">
        <v>165</v>
      </c>
      <c r="I68" s="22">
        <v>168</v>
      </c>
      <c r="J68" s="22">
        <v>1</v>
      </c>
      <c r="K68" s="22">
        <v>24</v>
      </c>
      <c r="L68" s="22">
        <v>27</v>
      </c>
      <c r="M68" s="22">
        <v>1</v>
      </c>
      <c r="N68" s="22">
        <v>0</v>
      </c>
      <c r="O68" s="23" t="s">
        <v>197</v>
      </c>
      <c r="P68" s="23" t="s">
        <v>195</v>
      </c>
      <c r="R68" s="4">
        <v>42</v>
      </c>
      <c r="S68" s="4">
        <v>180.18214845734224</v>
      </c>
      <c r="T68" s="4">
        <v>-8.182148457342237</v>
      </c>
      <c r="U68"/>
      <c r="V68"/>
      <c r="W68"/>
      <c r="X68"/>
      <c r="Y68"/>
      <c r="Z68"/>
    </row>
    <row r="69" spans="1:26" ht="12.75">
      <c r="A69" s="22">
        <v>3</v>
      </c>
      <c r="B69" s="22">
        <v>1</v>
      </c>
      <c r="C69" s="22">
        <v>1</v>
      </c>
      <c r="D69" s="22">
        <v>3005</v>
      </c>
      <c r="E69" s="22">
        <v>51</v>
      </c>
      <c r="F69" s="22">
        <v>7450</v>
      </c>
      <c r="G69" s="22">
        <v>66</v>
      </c>
      <c r="H69" s="22">
        <v>164</v>
      </c>
      <c r="I69" s="22">
        <v>176</v>
      </c>
      <c r="J69" s="22">
        <v>1</v>
      </c>
      <c r="K69" s="22">
        <v>21</v>
      </c>
      <c r="L69" s="22">
        <v>24</v>
      </c>
      <c r="M69" s="22">
        <v>1</v>
      </c>
      <c r="N69" s="22">
        <v>0</v>
      </c>
      <c r="O69" s="23" t="s">
        <v>197</v>
      </c>
      <c r="P69" s="23" t="s">
        <v>196</v>
      </c>
      <c r="R69" s="4">
        <v>43</v>
      </c>
      <c r="S69" s="4">
        <v>178.35693146933457</v>
      </c>
      <c r="T69" s="4">
        <v>3.643068530665431</v>
      </c>
      <c r="U69"/>
      <c r="V69"/>
      <c r="W69"/>
      <c r="X69"/>
      <c r="Y69"/>
      <c r="Z69"/>
    </row>
    <row r="70" spans="1:26" ht="12.75">
      <c r="A70" s="22">
        <v>5</v>
      </c>
      <c r="B70" s="22">
        <v>1</v>
      </c>
      <c r="C70" s="22">
        <v>2</v>
      </c>
      <c r="D70" s="22">
        <v>3430</v>
      </c>
      <c r="E70" s="22">
        <v>51</v>
      </c>
      <c r="F70" s="22">
        <v>7000</v>
      </c>
      <c r="G70" s="22">
        <v>65</v>
      </c>
      <c r="H70" s="22">
        <v>173</v>
      </c>
      <c r="I70" s="22">
        <v>175</v>
      </c>
      <c r="J70" s="22">
        <v>0</v>
      </c>
      <c r="K70" s="22">
        <v>25</v>
      </c>
      <c r="L70" s="22">
        <v>28</v>
      </c>
      <c r="M70" s="22">
        <v>1</v>
      </c>
      <c r="N70" s="22">
        <v>0</v>
      </c>
      <c r="O70" s="23" t="s">
        <v>194</v>
      </c>
      <c r="P70" s="23" t="s">
        <v>195</v>
      </c>
      <c r="R70" s="4">
        <v>44</v>
      </c>
      <c r="S70" s="4">
        <v>178.8132357163365</v>
      </c>
      <c r="T70" s="4">
        <v>-12.813235716336493</v>
      </c>
      <c r="U70"/>
      <c r="V70"/>
      <c r="W70"/>
      <c r="X70"/>
      <c r="Y70"/>
      <c r="Z70"/>
    </row>
    <row r="71" spans="1:26" ht="12.75">
      <c r="A71" s="22">
        <v>4</v>
      </c>
      <c r="B71" s="22">
        <v>1</v>
      </c>
      <c r="C71" s="22">
        <v>1</v>
      </c>
      <c r="D71" s="22">
        <v>3140</v>
      </c>
      <c r="E71" s="22">
        <v>50</v>
      </c>
      <c r="F71" s="22">
        <v>6500</v>
      </c>
      <c r="G71" s="22">
        <v>66</v>
      </c>
      <c r="H71" s="22">
        <v>164</v>
      </c>
      <c r="I71" s="22">
        <v>175</v>
      </c>
      <c r="J71" s="22">
        <v>0</v>
      </c>
      <c r="K71" s="22">
        <v>22</v>
      </c>
      <c r="L71" s="22">
        <v>20</v>
      </c>
      <c r="M71" s="22">
        <v>1</v>
      </c>
      <c r="N71" s="22">
        <v>1</v>
      </c>
      <c r="O71" s="23" t="s">
        <v>194</v>
      </c>
      <c r="P71" s="23" t="s">
        <v>196</v>
      </c>
      <c r="R71" s="4">
        <v>45</v>
      </c>
      <c r="S71" s="4">
        <v>180.86660482784512</v>
      </c>
      <c r="T71" s="4">
        <v>4.133395172154877</v>
      </c>
      <c r="U71"/>
      <c r="V71"/>
      <c r="W71"/>
      <c r="X71"/>
      <c r="Y71"/>
      <c r="Z71"/>
    </row>
    <row r="72" spans="1:26" ht="12.75">
      <c r="A72" s="22">
        <v>24</v>
      </c>
      <c r="B72" s="22">
        <v>2</v>
      </c>
      <c r="C72" s="22">
        <v>1</v>
      </c>
      <c r="D72" s="22">
        <v>3700</v>
      </c>
      <c r="E72" s="22">
        <v>52</v>
      </c>
      <c r="F72" s="22">
        <v>8300</v>
      </c>
      <c r="G72" s="22">
        <v>69</v>
      </c>
      <c r="H72" s="22">
        <v>165</v>
      </c>
      <c r="I72" s="22">
        <v>180</v>
      </c>
      <c r="J72" s="22">
        <v>1</v>
      </c>
      <c r="K72" s="22">
        <v>30</v>
      </c>
      <c r="L72" s="22">
        <v>30</v>
      </c>
      <c r="M72" s="22">
        <v>0</v>
      </c>
      <c r="N72" s="22">
        <v>1</v>
      </c>
      <c r="O72" s="23" t="s">
        <v>194</v>
      </c>
      <c r="P72" s="23" t="s">
        <v>196</v>
      </c>
      <c r="R72" s="4">
        <v>46</v>
      </c>
      <c r="S72" s="4">
        <v>178.1287793458336</v>
      </c>
      <c r="T72" s="4">
        <v>-8.128779345833607</v>
      </c>
      <c r="U72"/>
      <c r="V72"/>
      <c r="W72"/>
      <c r="X72"/>
      <c r="Y72"/>
      <c r="Z72"/>
    </row>
    <row r="73" spans="1:26" ht="12.75">
      <c r="A73" s="22">
        <v>0</v>
      </c>
      <c r="B73" s="22">
        <v>1</v>
      </c>
      <c r="C73" s="22">
        <v>1</v>
      </c>
      <c r="D73" s="22">
        <v>3890</v>
      </c>
      <c r="E73" s="22">
        <v>52</v>
      </c>
      <c r="F73" s="22">
        <v>7900</v>
      </c>
      <c r="G73" s="22">
        <v>68</v>
      </c>
      <c r="H73" s="22">
        <v>168</v>
      </c>
      <c r="I73" s="22">
        <v>167</v>
      </c>
      <c r="J73" s="22">
        <v>0</v>
      </c>
      <c r="K73" s="22">
        <v>22</v>
      </c>
      <c r="L73" s="22">
        <v>23</v>
      </c>
      <c r="M73" s="22">
        <v>1</v>
      </c>
      <c r="N73" s="22">
        <v>0</v>
      </c>
      <c r="O73" s="23" t="s">
        <v>194</v>
      </c>
      <c r="P73" s="23" t="s">
        <v>196</v>
      </c>
      <c r="R73" s="4">
        <v>47</v>
      </c>
      <c r="S73" s="4">
        <v>179.04138783983745</v>
      </c>
      <c r="T73" s="4">
        <v>-1.041387839837455</v>
      </c>
      <c r="U73"/>
      <c r="V73"/>
      <c r="W73"/>
      <c r="X73"/>
      <c r="Y73"/>
      <c r="Z73"/>
    </row>
    <row r="74" spans="1:26" ht="12.75">
      <c r="A74" s="22">
        <v>4</v>
      </c>
      <c r="B74" s="22">
        <v>2</v>
      </c>
      <c r="C74" s="22">
        <v>2</v>
      </c>
      <c r="D74" s="22">
        <v>3600</v>
      </c>
      <c r="E74" s="22">
        <v>50</v>
      </c>
      <c r="F74" s="22">
        <v>7200</v>
      </c>
      <c r="G74" s="22">
        <v>69</v>
      </c>
      <c r="H74" s="22">
        <v>165</v>
      </c>
      <c r="I74" s="22">
        <v>178</v>
      </c>
      <c r="J74" s="22">
        <v>0</v>
      </c>
      <c r="K74" s="22">
        <v>26</v>
      </c>
      <c r="L74" s="22">
        <v>37</v>
      </c>
      <c r="M74" s="22">
        <v>1</v>
      </c>
      <c r="N74" s="22">
        <v>0</v>
      </c>
      <c r="O74" s="23" t="s">
        <v>194</v>
      </c>
      <c r="P74" s="23" t="s">
        <v>195</v>
      </c>
      <c r="R74" s="4">
        <v>48</v>
      </c>
      <c r="S74" s="4">
        <v>178.1287793458336</v>
      </c>
      <c r="T74" s="4">
        <v>13.871220654166393</v>
      </c>
      <c r="U74"/>
      <c r="V74"/>
      <c r="W74"/>
      <c r="X74"/>
      <c r="Y74"/>
      <c r="Z74"/>
    </row>
    <row r="75" spans="1:26" ht="12.75">
      <c r="A75" s="22">
        <v>6</v>
      </c>
      <c r="B75" s="22">
        <v>1</v>
      </c>
      <c r="C75" s="22">
        <v>3</v>
      </c>
      <c r="D75" s="22">
        <v>4360</v>
      </c>
      <c r="E75" s="22">
        <v>53</v>
      </c>
      <c r="F75" s="22">
        <v>7400</v>
      </c>
      <c r="G75" s="22">
        <v>68</v>
      </c>
      <c r="H75" s="22">
        <v>180</v>
      </c>
      <c r="I75" s="22">
        <v>180</v>
      </c>
      <c r="J75" s="22">
        <v>0</v>
      </c>
      <c r="K75" s="22">
        <v>28</v>
      </c>
      <c r="L75" s="22">
        <v>33</v>
      </c>
      <c r="M75" s="22">
        <v>1</v>
      </c>
      <c r="N75" s="22">
        <v>0</v>
      </c>
      <c r="O75" s="23" t="s">
        <v>194</v>
      </c>
      <c r="P75" s="23" t="s">
        <v>195</v>
      </c>
      <c r="R75" s="4">
        <v>49</v>
      </c>
      <c r="S75" s="4">
        <v>180.86660482784512</v>
      </c>
      <c r="T75" s="4">
        <v>-4.866604827845123</v>
      </c>
      <c r="U75"/>
      <c r="V75"/>
      <c r="W75"/>
      <c r="X75"/>
      <c r="Y75"/>
      <c r="Z75"/>
    </row>
    <row r="76" spans="1:26" ht="12.75">
      <c r="A76" s="22">
        <v>24</v>
      </c>
      <c r="B76" s="22">
        <v>1</v>
      </c>
      <c r="C76" s="22">
        <v>2</v>
      </c>
      <c r="D76" s="22">
        <v>3940</v>
      </c>
      <c r="E76" s="22">
        <v>52</v>
      </c>
      <c r="F76" s="22">
        <v>9400</v>
      </c>
      <c r="G76" s="22">
        <v>69</v>
      </c>
      <c r="H76" s="22">
        <v>158</v>
      </c>
      <c r="I76" s="22">
        <v>193</v>
      </c>
      <c r="J76" s="22">
        <v>0</v>
      </c>
      <c r="K76" s="22">
        <v>25</v>
      </c>
      <c r="L76" s="22">
        <v>28</v>
      </c>
      <c r="M76" s="22">
        <v>0</v>
      </c>
      <c r="N76" s="22">
        <v>1</v>
      </c>
      <c r="O76" s="23" t="s">
        <v>194</v>
      </c>
      <c r="P76" s="23" t="s">
        <v>195</v>
      </c>
      <c r="R76" s="4">
        <v>50</v>
      </c>
      <c r="S76" s="4">
        <v>179.9539963338413</v>
      </c>
      <c r="T76" s="4">
        <v>-7.953996333841303</v>
      </c>
      <c r="U76"/>
      <c r="V76"/>
      <c r="W76"/>
      <c r="X76"/>
      <c r="Y76"/>
      <c r="Z76"/>
    </row>
    <row r="77" spans="1:26" ht="12.75">
      <c r="A77" s="22">
        <v>24</v>
      </c>
      <c r="B77" s="22">
        <v>2</v>
      </c>
      <c r="C77" s="22">
        <v>2</v>
      </c>
      <c r="D77" s="22">
        <v>3490</v>
      </c>
      <c r="E77" s="22">
        <v>53</v>
      </c>
      <c r="F77" s="22">
        <v>8003</v>
      </c>
      <c r="G77" s="22">
        <v>69</v>
      </c>
      <c r="H77" s="22">
        <v>175</v>
      </c>
      <c r="I77" s="22">
        <v>185</v>
      </c>
      <c r="J77" s="22">
        <v>0</v>
      </c>
      <c r="K77" s="22">
        <v>27</v>
      </c>
      <c r="L77" s="22">
        <v>29</v>
      </c>
      <c r="M77" s="22">
        <v>1</v>
      </c>
      <c r="N77" s="22">
        <v>1</v>
      </c>
      <c r="O77" s="23" t="s">
        <v>194</v>
      </c>
      <c r="P77" s="23" t="s">
        <v>196</v>
      </c>
      <c r="R77" s="4">
        <v>51</v>
      </c>
      <c r="S77" s="4">
        <v>180.41030058084323</v>
      </c>
      <c r="T77" s="4">
        <v>1.5896994191567728</v>
      </c>
      <c r="U77"/>
      <c r="V77"/>
      <c r="W77"/>
      <c r="X77"/>
      <c r="Y77"/>
      <c r="Z77"/>
    </row>
    <row r="78" spans="1:26" ht="12.75">
      <c r="A78" s="22">
        <v>16</v>
      </c>
      <c r="B78" s="22">
        <v>2</v>
      </c>
      <c r="C78" s="22">
        <v>2</v>
      </c>
      <c r="D78" s="22">
        <v>2850</v>
      </c>
      <c r="E78" s="22">
        <v>50</v>
      </c>
      <c r="F78" s="22">
        <v>6500</v>
      </c>
      <c r="G78" s="22">
        <v>68</v>
      </c>
      <c r="H78" s="22">
        <v>157</v>
      </c>
      <c r="I78" s="22">
        <v>186</v>
      </c>
      <c r="J78" s="22">
        <v>0</v>
      </c>
      <c r="K78" s="22">
        <v>25</v>
      </c>
      <c r="L78" s="22">
        <v>30</v>
      </c>
      <c r="M78" s="22">
        <v>0</v>
      </c>
      <c r="N78" s="22">
        <v>0</v>
      </c>
      <c r="O78" s="23" t="s">
        <v>194</v>
      </c>
      <c r="P78" s="23" t="s">
        <v>196</v>
      </c>
      <c r="R78" s="4">
        <v>52</v>
      </c>
      <c r="S78" s="4">
        <v>178.8132357163365</v>
      </c>
      <c r="T78" s="4">
        <v>-4.813235716336493</v>
      </c>
      <c r="U78"/>
      <c r="V78"/>
      <c r="W78"/>
      <c r="X78"/>
      <c r="Y78"/>
      <c r="Z78"/>
    </row>
    <row r="79" spans="1:26" ht="12.75">
      <c r="A79" s="22">
        <v>24</v>
      </c>
      <c r="B79" s="22">
        <v>1</v>
      </c>
      <c r="C79" s="22">
        <v>2</v>
      </c>
      <c r="D79" s="22">
        <v>2200</v>
      </c>
      <c r="E79" s="22">
        <v>48</v>
      </c>
      <c r="F79" s="22">
        <v>5850</v>
      </c>
      <c r="G79" s="22">
        <v>67</v>
      </c>
      <c r="H79" s="22">
        <v>170</v>
      </c>
      <c r="I79" s="22">
        <v>180</v>
      </c>
      <c r="J79" s="22">
        <v>1</v>
      </c>
      <c r="K79" s="22">
        <v>31</v>
      </c>
      <c r="L79" s="22">
        <v>33</v>
      </c>
      <c r="M79" s="22">
        <v>1</v>
      </c>
      <c r="N79" s="22">
        <v>1</v>
      </c>
      <c r="O79" s="23" t="s">
        <v>197</v>
      </c>
      <c r="P79" s="23" t="s">
        <v>196</v>
      </c>
      <c r="R79" s="4">
        <v>53</v>
      </c>
      <c r="S79" s="4">
        <v>178.8132357163365</v>
      </c>
      <c r="T79" s="4">
        <v>12.186764283663507</v>
      </c>
      <c r="U79"/>
      <c r="V79"/>
      <c r="W79"/>
      <c r="X79"/>
      <c r="Y79"/>
      <c r="Z79"/>
    </row>
    <row r="80" spans="1:26" ht="12.75">
      <c r="A80" s="22">
        <v>24</v>
      </c>
      <c r="B80" s="22">
        <v>4</v>
      </c>
      <c r="C80" s="22">
        <v>1</v>
      </c>
      <c r="D80" s="22">
        <v>4200</v>
      </c>
      <c r="E80" s="22">
        <v>53</v>
      </c>
      <c r="F80" s="22">
        <v>9150</v>
      </c>
      <c r="G80" s="22">
        <v>71</v>
      </c>
      <c r="H80" s="22">
        <v>165</v>
      </c>
      <c r="I80" s="22">
        <v>175</v>
      </c>
      <c r="J80" s="22">
        <v>0</v>
      </c>
      <c r="K80" s="22">
        <v>37</v>
      </c>
      <c r="L80" s="22">
        <v>43</v>
      </c>
      <c r="M80" s="22">
        <v>1</v>
      </c>
      <c r="N80" s="22">
        <v>0</v>
      </c>
      <c r="O80" s="23" t="s">
        <v>197</v>
      </c>
      <c r="P80" s="23" t="s">
        <v>195</v>
      </c>
      <c r="R80" s="4">
        <v>54</v>
      </c>
      <c r="S80" s="4">
        <v>179.9539963338413</v>
      </c>
      <c r="T80" s="4">
        <v>6.046003666158697</v>
      </c>
      <c r="U80"/>
      <c r="V80"/>
      <c r="W80"/>
      <c r="X80"/>
      <c r="Y80"/>
      <c r="Z80"/>
    </row>
    <row r="81" spans="1:26" ht="12.75">
      <c r="A81" s="22">
        <v>24</v>
      </c>
      <c r="B81" s="22">
        <v>2</v>
      </c>
      <c r="C81" s="22">
        <v>2</v>
      </c>
      <c r="D81" s="22">
        <v>3250</v>
      </c>
      <c r="E81" s="22">
        <v>50</v>
      </c>
      <c r="F81" s="22">
        <v>7600</v>
      </c>
      <c r="G81" s="22">
        <v>66</v>
      </c>
      <c r="H81" s="22">
        <v>160</v>
      </c>
      <c r="I81" s="22">
        <v>184</v>
      </c>
      <c r="J81" s="22">
        <v>1</v>
      </c>
      <c r="K81" s="22">
        <v>29</v>
      </c>
      <c r="L81" s="22">
        <v>29</v>
      </c>
      <c r="M81" s="22">
        <v>1</v>
      </c>
      <c r="N81" s="22">
        <v>1</v>
      </c>
      <c r="O81" s="23" t="s">
        <v>197</v>
      </c>
      <c r="P81" s="23" t="s">
        <v>195</v>
      </c>
      <c r="R81" s="4">
        <v>55</v>
      </c>
      <c r="S81" s="4">
        <v>179.9539963338413</v>
      </c>
      <c r="T81" s="4">
        <v>5.046003666158697</v>
      </c>
      <c r="U81"/>
      <c r="V81"/>
      <c r="W81"/>
      <c r="X81"/>
      <c r="Y81"/>
      <c r="Z81"/>
    </row>
    <row r="82" spans="1:26" ht="12.75">
      <c r="A82" s="22">
        <v>8</v>
      </c>
      <c r="B82" s="22">
        <v>3</v>
      </c>
      <c r="C82" s="22">
        <v>1</v>
      </c>
      <c r="D82" s="22">
        <v>3200</v>
      </c>
      <c r="E82" s="22">
        <v>50</v>
      </c>
      <c r="F82" s="22">
        <v>8750</v>
      </c>
      <c r="G82" s="22">
        <v>67</v>
      </c>
      <c r="H82" s="22">
        <v>170</v>
      </c>
      <c r="I82" s="22">
        <v>175</v>
      </c>
      <c r="J82" s="22">
        <v>1</v>
      </c>
      <c r="K82" s="22">
        <v>23</v>
      </c>
      <c r="L82" s="22">
        <v>27</v>
      </c>
      <c r="M82" s="22">
        <v>1</v>
      </c>
      <c r="N82" s="22">
        <v>0</v>
      </c>
      <c r="O82" s="23" t="s">
        <v>197</v>
      </c>
      <c r="P82" s="23" t="s">
        <v>196</v>
      </c>
      <c r="R82" s="4">
        <v>56</v>
      </c>
      <c r="S82" s="4">
        <v>180.86660482784512</v>
      </c>
      <c r="T82" s="4">
        <v>8.133395172154877</v>
      </c>
      <c r="U82"/>
      <c r="V82"/>
      <c r="W82"/>
      <c r="X82"/>
      <c r="Y82"/>
      <c r="Z82"/>
    </row>
    <row r="83" spans="1:26" ht="12.75">
      <c r="A83" s="22">
        <v>14</v>
      </c>
      <c r="B83" s="22">
        <v>1</v>
      </c>
      <c r="C83" s="22">
        <v>1</v>
      </c>
      <c r="D83" s="22">
        <v>3400</v>
      </c>
      <c r="E83" s="22">
        <v>51</v>
      </c>
      <c r="F83" s="22">
        <v>7200</v>
      </c>
      <c r="G83" s="22">
        <v>68</v>
      </c>
      <c r="H83" s="22">
        <v>168</v>
      </c>
      <c r="I83" s="22">
        <v>182</v>
      </c>
      <c r="J83" s="22">
        <v>1</v>
      </c>
      <c r="K83" s="22">
        <v>21</v>
      </c>
      <c r="L83" s="22">
        <v>27</v>
      </c>
      <c r="M83" s="22">
        <v>1</v>
      </c>
      <c r="N83" s="22">
        <v>1</v>
      </c>
      <c r="O83" s="23" t="s">
        <v>197</v>
      </c>
      <c r="P83" s="23" t="s">
        <v>195</v>
      </c>
      <c r="R83" s="4">
        <v>57</v>
      </c>
      <c r="S83" s="4">
        <v>178.8132357163365</v>
      </c>
      <c r="T83" s="4">
        <v>-0.8132357163364929</v>
      </c>
      <c r="U83"/>
      <c r="V83"/>
      <c r="W83"/>
      <c r="X83"/>
      <c r="Y83"/>
      <c r="Z83"/>
    </row>
    <row r="84" spans="1:26" ht="12.75">
      <c r="A84" s="22">
        <v>24</v>
      </c>
      <c r="B84" s="22">
        <v>1</v>
      </c>
      <c r="C84" s="22">
        <v>1</v>
      </c>
      <c r="D84" s="22">
        <v>3400</v>
      </c>
      <c r="E84" s="22">
        <v>51</v>
      </c>
      <c r="F84" s="22">
        <v>8300</v>
      </c>
      <c r="G84" s="22">
        <v>68</v>
      </c>
      <c r="H84" s="22">
        <v>173</v>
      </c>
      <c r="I84" s="22">
        <v>184</v>
      </c>
      <c r="J84" s="22">
        <v>1</v>
      </c>
      <c r="K84" s="22">
        <v>21</v>
      </c>
      <c r="L84" s="22">
        <v>23</v>
      </c>
      <c r="M84" s="22">
        <v>1</v>
      </c>
      <c r="N84" s="22">
        <v>1</v>
      </c>
      <c r="O84" s="23" t="s">
        <v>197</v>
      </c>
      <c r="P84" s="23" t="s">
        <v>195</v>
      </c>
      <c r="R84" s="4">
        <v>58</v>
      </c>
      <c r="S84" s="4">
        <v>181.09475695134608</v>
      </c>
      <c r="T84" s="4">
        <v>4.905243048653915</v>
      </c>
      <c r="U84"/>
      <c r="V84"/>
      <c r="W84"/>
      <c r="X84"/>
      <c r="Y84"/>
      <c r="Z84"/>
    </row>
    <row r="85" spans="1:26" ht="12.75">
      <c r="A85" s="22">
        <v>16</v>
      </c>
      <c r="B85" s="22">
        <v>1</v>
      </c>
      <c r="C85" s="22">
        <v>2</v>
      </c>
      <c r="D85" s="22">
        <v>4100</v>
      </c>
      <c r="E85" s="22">
        <v>52</v>
      </c>
      <c r="F85" s="22">
        <v>8000</v>
      </c>
      <c r="G85" s="22">
        <v>70</v>
      </c>
      <c r="H85" s="22">
        <v>164</v>
      </c>
      <c r="I85" s="22">
        <v>178</v>
      </c>
      <c r="J85" s="22">
        <v>1</v>
      </c>
      <c r="K85" s="22">
        <v>25</v>
      </c>
      <c r="L85" s="22">
        <v>24</v>
      </c>
      <c r="M85" s="22">
        <v>1</v>
      </c>
      <c r="N85" s="22">
        <v>0</v>
      </c>
      <c r="O85" s="23" t="s">
        <v>197</v>
      </c>
      <c r="P85" s="23" t="s">
        <v>195</v>
      </c>
      <c r="R85" s="4">
        <v>59</v>
      </c>
      <c r="S85" s="4">
        <v>181.09475695134608</v>
      </c>
      <c r="T85" s="4">
        <v>4.905243048653915</v>
      </c>
      <c r="U85"/>
      <c r="V85"/>
      <c r="W85"/>
      <c r="X85"/>
      <c r="Y85"/>
      <c r="Z85"/>
    </row>
    <row r="86" spans="1:26" ht="12.75">
      <c r="A86" s="22">
        <v>16</v>
      </c>
      <c r="B86" s="22">
        <v>1</v>
      </c>
      <c r="C86" s="22">
        <v>2</v>
      </c>
      <c r="D86" s="22">
        <v>3550</v>
      </c>
      <c r="E86" s="22">
        <v>52</v>
      </c>
      <c r="F86" s="22">
        <v>6950</v>
      </c>
      <c r="G86" s="22">
        <v>70</v>
      </c>
      <c r="H86" s="22">
        <v>174</v>
      </c>
      <c r="I86" s="22">
        <v>185</v>
      </c>
      <c r="J86" s="22">
        <v>0</v>
      </c>
      <c r="K86" s="22">
        <v>24</v>
      </c>
      <c r="L86" s="22">
        <v>23</v>
      </c>
      <c r="M86" s="22">
        <v>1</v>
      </c>
      <c r="N86" s="22">
        <v>1</v>
      </c>
      <c r="O86" s="23" t="s">
        <v>197</v>
      </c>
      <c r="P86" s="23" t="s">
        <v>196</v>
      </c>
      <c r="R86" s="4">
        <v>60</v>
      </c>
      <c r="S86" s="4">
        <v>180.18214845734224</v>
      </c>
      <c r="T86" s="4">
        <v>6.817851542657763</v>
      </c>
      <c r="U86"/>
      <c r="V86"/>
      <c r="W86"/>
      <c r="X86"/>
      <c r="Y86"/>
      <c r="Z86"/>
    </row>
    <row r="87" spans="1:26" ht="12.75">
      <c r="A87" s="22">
        <v>24</v>
      </c>
      <c r="B87" s="22">
        <v>1</v>
      </c>
      <c r="C87" s="22">
        <v>2</v>
      </c>
      <c r="D87" s="22">
        <v>3150</v>
      </c>
      <c r="E87" s="22">
        <v>50</v>
      </c>
      <c r="F87" s="22">
        <v>6200</v>
      </c>
      <c r="G87" s="22">
        <v>63</v>
      </c>
      <c r="H87" s="22">
        <v>172</v>
      </c>
      <c r="I87" s="22">
        <v>168</v>
      </c>
      <c r="J87" s="22">
        <v>1</v>
      </c>
      <c r="K87" s="22">
        <v>25</v>
      </c>
      <c r="L87" s="22">
        <v>28</v>
      </c>
      <c r="M87" s="22">
        <v>0</v>
      </c>
      <c r="N87" s="22">
        <v>1</v>
      </c>
      <c r="O87" s="23" t="s">
        <v>197</v>
      </c>
      <c r="P87" s="23" t="s">
        <v>195</v>
      </c>
      <c r="R87" s="4">
        <v>61</v>
      </c>
      <c r="S87" s="4">
        <v>179.26953996333842</v>
      </c>
      <c r="T87" s="4">
        <v>3.730460036661583</v>
      </c>
      <c r="U87"/>
      <c r="V87"/>
      <c r="W87"/>
      <c r="X87"/>
      <c r="Y87"/>
      <c r="Z87"/>
    </row>
    <row r="88" spans="1:26" ht="12.75">
      <c r="A88" s="22">
        <v>10</v>
      </c>
      <c r="B88" s="22">
        <v>2</v>
      </c>
      <c r="C88" s="22">
        <v>2</v>
      </c>
      <c r="D88" s="22">
        <v>3300</v>
      </c>
      <c r="E88" s="22">
        <v>50</v>
      </c>
      <c r="F88" s="22">
        <v>7150</v>
      </c>
      <c r="G88" s="22">
        <v>65</v>
      </c>
      <c r="H88" s="22">
        <v>158</v>
      </c>
      <c r="I88" s="22">
        <v>175</v>
      </c>
      <c r="J88" s="22">
        <v>0</v>
      </c>
      <c r="K88" s="22">
        <v>25</v>
      </c>
      <c r="L88" s="22">
        <v>26</v>
      </c>
      <c r="M88" s="22">
        <v>1</v>
      </c>
      <c r="N88" s="22">
        <v>0</v>
      </c>
      <c r="O88" s="23" t="s">
        <v>197</v>
      </c>
      <c r="P88" s="23" t="s">
        <v>196</v>
      </c>
      <c r="R88" s="4">
        <v>62</v>
      </c>
      <c r="S88" s="4">
        <v>177.21617085182976</v>
      </c>
      <c r="T88" s="4">
        <v>0.7838291481702413</v>
      </c>
      <c r="U88"/>
      <c r="V88"/>
      <c r="W88"/>
      <c r="X88"/>
      <c r="Y88"/>
      <c r="Z88"/>
    </row>
    <row r="89" spans="1:26" ht="12.75">
      <c r="A89" s="22">
        <v>6</v>
      </c>
      <c r="B89" s="22">
        <v>2</v>
      </c>
      <c r="C89" s="22">
        <v>1</v>
      </c>
      <c r="D89" s="22">
        <v>3600</v>
      </c>
      <c r="E89" s="22">
        <v>51</v>
      </c>
      <c r="F89" s="22">
        <v>7450</v>
      </c>
      <c r="G89" s="22">
        <v>68</v>
      </c>
      <c r="H89" s="22">
        <v>170</v>
      </c>
      <c r="I89" s="22">
        <v>170</v>
      </c>
      <c r="J89" s="22">
        <v>1</v>
      </c>
      <c r="K89" s="22">
        <v>24</v>
      </c>
      <c r="L89" s="22">
        <v>29</v>
      </c>
      <c r="M89" s="22">
        <v>1</v>
      </c>
      <c r="N89" s="22">
        <v>0</v>
      </c>
      <c r="O89" s="23" t="s">
        <v>197</v>
      </c>
      <c r="P89" s="23" t="s">
        <v>195</v>
      </c>
      <c r="R89" s="4">
        <v>63</v>
      </c>
      <c r="S89" s="4">
        <v>176.3035623578259</v>
      </c>
      <c r="T89" s="4">
        <v>-2.3035623578259106</v>
      </c>
      <c r="U89"/>
      <c r="V89"/>
      <c r="W89"/>
      <c r="X89"/>
      <c r="Y89"/>
      <c r="Z89"/>
    </row>
    <row r="90" spans="1:26" ht="12.75">
      <c r="A90" s="22">
        <v>12</v>
      </c>
      <c r="B90" s="22">
        <v>4</v>
      </c>
      <c r="C90" s="22">
        <v>2</v>
      </c>
      <c r="D90" s="22">
        <v>3400</v>
      </c>
      <c r="E90" s="22">
        <v>49</v>
      </c>
      <c r="F90" s="22">
        <v>7700</v>
      </c>
      <c r="G90" s="22">
        <v>70</v>
      </c>
      <c r="H90" s="22">
        <v>164</v>
      </c>
      <c r="I90" s="22">
        <v>175</v>
      </c>
      <c r="J90" s="22">
        <v>0</v>
      </c>
      <c r="K90" s="22">
        <v>33</v>
      </c>
      <c r="L90" s="22">
        <v>36</v>
      </c>
      <c r="M90" s="22">
        <v>1</v>
      </c>
      <c r="N90" s="22">
        <v>0</v>
      </c>
      <c r="O90" s="23" t="s">
        <v>197</v>
      </c>
      <c r="P90" s="23" t="s">
        <v>196</v>
      </c>
      <c r="R90" s="4">
        <v>64</v>
      </c>
      <c r="S90" s="4">
        <v>180.41030058084323</v>
      </c>
      <c r="T90" s="4">
        <v>2.589699419156773</v>
      </c>
      <c r="U90"/>
      <c r="V90"/>
      <c r="W90"/>
      <c r="X90"/>
      <c r="Y90"/>
      <c r="Z90"/>
    </row>
    <row r="91" spans="1:26" ht="12.75">
      <c r="A91" s="22">
        <v>12</v>
      </c>
      <c r="B91" s="22">
        <v>1</v>
      </c>
      <c r="C91" s="22">
        <v>1</v>
      </c>
      <c r="D91" s="22">
        <v>3555</v>
      </c>
      <c r="E91" s="22">
        <v>51</v>
      </c>
      <c r="F91" s="22">
        <v>7200</v>
      </c>
      <c r="G91" s="22">
        <v>74</v>
      </c>
      <c r="H91" s="22">
        <v>163</v>
      </c>
      <c r="I91" s="22">
        <v>185</v>
      </c>
      <c r="J91" s="22">
        <v>1</v>
      </c>
      <c r="K91" s="22">
        <v>21</v>
      </c>
      <c r="L91" s="22">
        <v>26</v>
      </c>
      <c r="M91" s="22">
        <v>1</v>
      </c>
      <c r="N91" s="22">
        <v>0</v>
      </c>
      <c r="O91" s="23" t="s">
        <v>197</v>
      </c>
      <c r="P91" s="23" t="s">
        <v>196</v>
      </c>
      <c r="R91" s="4">
        <v>65</v>
      </c>
      <c r="S91" s="4">
        <v>179.7258442103403</v>
      </c>
      <c r="T91" s="4">
        <v>-0.7258442103403127</v>
      </c>
      <c r="U91"/>
      <c r="V91"/>
      <c r="W91"/>
      <c r="X91"/>
      <c r="Y91"/>
      <c r="Z91"/>
    </row>
    <row r="92" spans="1:26" ht="12.75">
      <c r="A92" s="22">
        <v>12</v>
      </c>
      <c r="B92" s="22">
        <v>1</v>
      </c>
      <c r="C92" s="22">
        <v>1</v>
      </c>
      <c r="D92" s="22">
        <v>3560</v>
      </c>
      <c r="E92" s="22">
        <v>51</v>
      </c>
      <c r="F92" s="22">
        <v>7750</v>
      </c>
      <c r="G92" s="22">
        <v>68</v>
      </c>
      <c r="H92" s="22">
        <v>171</v>
      </c>
      <c r="I92" s="22">
        <v>183</v>
      </c>
      <c r="J92" s="22">
        <v>0</v>
      </c>
      <c r="K92" s="22">
        <v>18</v>
      </c>
      <c r="L92" s="22">
        <v>19</v>
      </c>
      <c r="M92" s="22">
        <v>0</v>
      </c>
      <c r="N92" s="22">
        <v>0</v>
      </c>
      <c r="O92" s="23" t="s">
        <v>197</v>
      </c>
      <c r="P92" s="23" t="s">
        <v>196</v>
      </c>
      <c r="R92" s="4">
        <v>66</v>
      </c>
      <c r="S92" s="4">
        <v>176.3035623578259</v>
      </c>
      <c r="T92" s="4">
        <v>-3.3035623578259106</v>
      </c>
      <c r="U92"/>
      <c r="V92"/>
      <c r="W92"/>
      <c r="X92"/>
      <c r="Y92"/>
      <c r="Z92"/>
    </row>
    <row r="93" spans="1:26" ht="12.75">
      <c r="A93" s="22">
        <v>12</v>
      </c>
      <c r="B93" s="22">
        <v>2</v>
      </c>
      <c r="C93" s="22">
        <v>2</v>
      </c>
      <c r="D93" s="22">
        <v>3200</v>
      </c>
      <c r="E93" s="22">
        <v>47</v>
      </c>
      <c r="F93" s="22">
        <v>8150</v>
      </c>
      <c r="G93" s="22">
        <v>67</v>
      </c>
      <c r="H93" s="22">
        <v>164</v>
      </c>
      <c r="I93" s="22">
        <v>175</v>
      </c>
      <c r="J93" s="22">
        <v>1</v>
      </c>
      <c r="K93" s="22">
        <v>27</v>
      </c>
      <c r="L93" s="22">
        <v>30</v>
      </c>
      <c r="M93" s="22">
        <v>1</v>
      </c>
      <c r="N93" s="22">
        <v>1</v>
      </c>
      <c r="O93" s="23" t="s">
        <v>197</v>
      </c>
      <c r="P93" s="23" t="s">
        <v>196</v>
      </c>
      <c r="R93" s="4">
        <v>67</v>
      </c>
      <c r="S93" s="4">
        <v>178.8132357163365</v>
      </c>
      <c r="T93" s="4">
        <v>-10.813235716336493</v>
      </c>
      <c r="U93"/>
      <c r="V93"/>
      <c r="W93"/>
      <c r="X93"/>
      <c r="Y93"/>
      <c r="Z93"/>
    </row>
    <row r="94" spans="1:26" ht="12.75">
      <c r="A94" s="22">
        <v>24</v>
      </c>
      <c r="B94" s="22">
        <v>2</v>
      </c>
      <c r="C94" s="22">
        <v>2</v>
      </c>
      <c r="D94" s="22">
        <v>3450</v>
      </c>
      <c r="E94" s="22">
        <v>52</v>
      </c>
      <c r="F94" s="22">
        <v>7600</v>
      </c>
      <c r="G94" s="22">
        <v>65</v>
      </c>
      <c r="H94" s="22">
        <v>165</v>
      </c>
      <c r="I94" s="22">
        <v>177</v>
      </c>
      <c r="J94" s="22">
        <v>1</v>
      </c>
      <c r="K94" s="22">
        <v>23</v>
      </c>
      <c r="L94" s="22">
        <v>29</v>
      </c>
      <c r="M94" s="22">
        <v>1</v>
      </c>
      <c r="N94" s="22">
        <v>1</v>
      </c>
      <c r="O94" s="23" t="s">
        <v>197</v>
      </c>
      <c r="P94" s="23" t="s">
        <v>195</v>
      </c>
      <c r="R94" s="4">
        <v>68</v>
      </c>
      <c r="S94" s="4">
        <v>178.58508359283553</v>
      </c>
      <c r="T94" s="4">
        <v>-2.585083592835531</v>
      </c>
      <c r="U94"/>
      <c r="V94"/>
      <c r="W94"/>
      <c r="X94"/>
      <c r="Y94"/>
      <c r="Z94"/>
    </row>
    <row r="95" spans="1:26" ht="12.75">
      <c r="A95" s="22">
        <v>12</v>
      </c>
      <c r="B95" s="22">
        <v>2</v>
      </c>
      <c r="C95" s="22">
        <v>2</v>
      </c>
      <c r="D95" s="22">
        <v>4400</v>
      </c>
      <c r="E95" s="22">
        <v>53</v>
      </c>
      <c r="F95" s="22">
        <v>7050</v>
      </c>
      <c r="G95" s="22">
        <v>73</v>
      </c>
      <c r="H95" s="22">
        <v>170</v>
      </c>
      <c r="I95" s="22">
        <v>185</v>
      </c>
      <c r="J95" s="22">
        <v>0</v>
      </c>
      <c r="K95" s="22">
        <v>28</v>
      </c>
      <c r="L95" s="22">
        <v>29</v>
      </c>
      <c r="M95" s="22">
        <v>1</v>
      </c>
      <c r="N95" s="22">
        <v>1</v>
      </c>
      <c r="O95" s="23" t="s">
        <v>197</v>
      </c>
      <c r="P95" s="23" t="s">
        <v>196</v>
      </c>
      <c r="R95" s="4">
        <v>69</v>
      </c>
      <c r="S95" s="4">
        <v>180.63845270434416</v>
      </c>
      <c r="T95" s="4">
        <v>-5.638452704344161</v>
      </c>
      <c r="U95"/>
      <c r="V95"/>
      <c r="W95"/>
      <c r="X95"/>
      <c r="Y95"/>
      <c r="Z95"/>
    </row>
    <row r="96" spans="1:26" ht="12.75">
      <c r="A96" s="22">
        <v>20</v>
      </c>
      <c r="B96" s="22">
        <v>2</v>
      </c>
      <c r="C96" s="22">
        <v>2</v>
      </c>
      <c r="D96" s="22">
        <v>3600</v>
      </c>
      <c r="E96" s="22">
        <v>50</v>
      </c>
      <c r="F96" s="22">
        <v>7050</v>
      </c>
      <c r="G96" s="22">
        <v>64</v>
      </c>
      <c r="H96" s="22">
        <v>155</v>
      </c>
      <c r="I96" s="22">
        <v>163</v>
      </c>
      <c r="J96" s="22">
        <v>0</v>
      </c>
      <c r="K96" s="22">
        <v>32</v>
      </c>
      <c r="L96" s="22">
        <v>33</v>
      </c>
      <c r="M96" s="22">
        <v>1</v>
      </c>
      <c r="N96" s="22">
        <v>0</v>
      </c>
      <c r="O96" s="23" t="s">
        <v>197</v>
      </c>
      <c r="P96" s="23" t="s">
        <v>195</v>
      </c>
      <c r="R96" s="4">
        <v>70</v>
      </c>
      <c r="S96" s="4">
        <v>178.58508359283553</v>
      </c>
      <c r="T96" s="4">
        <v>-3.585083592835531</v>
      </c>
      <c r="U96"/>
      <c r="V96"/>
      <c r="W96"/>
      <c r="X96"/>
      <c r="Y96"/>
      <c r="Z96"/>
    </row>
    <row r="97" spans="1:26" ht="12.75">
      <c r="A97" s="22">
        <v>4</v>
      </c>
      <c r="B97" s="22">
        <v>2</v>
      </c>
      <c r="C97" s="22">
        <v>2</v>
      </c>
      <c r="D97" s="22">
        <v>2040</v>
      </c>
      <c r="E97" s="22">
        <v>46</v>
      </c>
      <c r="F97" s="22">
        <v>6900</v>
      </c>
      <c r="G97" s="22">
        <v>64</v>
      </c>
      <c r="H97" s="22">
        <v>164</v>
      </c>
      <c r="I97" s="22">
        <v>182</v>
      </c>
      <c r="J97" s="22">
        <v>1</v>
      </c>
      <c r="K97" s="22">
        <v>24</v>
      </c>
      <c r="L97" s="22">
        <v>24</v>
      </c>
      <c r="M97" s="22">
        <v>0</v>
      </c>
      <c r="N97" s="22">
        <v>1</v>
      </c>
      <c r="O97" s="23" t="s">
        <v>197</v>
      </c>
      <c r="P97" s="23" t="s">
        <v>196</v>
      </c>
      <c r="R97" s="4">
        <v>71</v>
      </c>
      <c r="S97" s="4">
        <v>178.8132357163365</v>
      </c>
      <c r="T97" s="4">
        <v>1.186764283663507</v>
      </c>
      <c r="U97"/>
      <c r="V97"/>
      <c r="W97"/>
      <c r="X97"/>
      <c r="Y97"/>
      <c r="Z97"/>
    </row>
    <row r="98" spans="1:26" ht="12.75">
      <c r="A98" s="22">
        <v>3</v>
      </c>
      <c r="B98" s="22">
        <v>1</v>
      </c>
      <c r="C98" s="22">
        <v>2</v>
      </c>
      <c r="D98" s="22">
        <v>3700</v>
      </c>
      <c r="E98" s="22">
        <v>52</v>
      </c>
      <c r="F98" s="22">
        <v>7800</v>
      </c>
      <c r="G98" s="22">
        <v>70</v>
      </c>
      <c r="H98" s="22">
        <v>175</v>
      </c>
      <c r="I98" s="22">
        <v>185</v>
      </c>
      <c r="J98" s="22">
        <v>1</v>
      </c>
      <c r="K98" s="22">
        <v>26</v>
      </c>
      <c r="L98" s="22">
        <v>27</v>
      </c>
      <c r="M98" s="22">
        <v>0</v>
      </c>
      <c r="N98" s="22">
        <v>1</v>
      </c>
      <c r="O98" s="23" t="s">
        <v>197</v>
      </c>
      <c r="P98" s="23" t="s">
        <v>195</v>
      </c>
      <c r="R98" s="4">
        <v>72</v>
      </c>
      <c r="S98" s="4">
        <v>179.49769208683938</v>
      </c>
      <c r="T98" s="4">
        <v>-12.497692086839379</v>
      </c>
      <c r="U98"/>
      <c r="V98"/>
      <c r="W98"/>
      <c r="X98"/>
      <c r="Y98"/>
      <c r="Z98"/>
    </row>
    <row r="99" spans="1:26" ht="12.75">
      <c r="A99" s="22">
        <v>10</v>
      </c>
      <c r="B99" s="22">
        <v>2</v>
      </c>
      <c r="C99" s="22">
        <v>1</v>
      </c>
      <c r="D99" s="22">
        <v>3000</v>
      </c>
      <c r="E99" s="22">
        <v>48</v>
      </c>
      <c r="F99" s="22">
        <v>6500</v>
      </c>
      <c r="G99" s="22">
        <v>64</v>
      </c>
      <c r="H99" s="22">
        <v>174</v>
      </c>
      <c r="I99" s="22">
        <v>180</v>
      </c>
      <c r="J99" s="22">
        <v>1</v>
      </c>
      <c r="K99" s="22">
        <v>21</v>
      </c>
      <c r="L99" s="22">
        <v>25</v>
      </c>
      <c r="M99" s="22">
        <v>1</v>
      </c>
      <c r="N99" s="22">
        <v>0</v>
      </c>
      <c r="O99" s="23" t="s">
        <v>197</v>
      </c>
      <c r="P99" s="23" t="s">
        <v>196</v>
      </c>
      <c r="R99" s="4">
        <v>73</v>
      </c>
      <c r="S99" s="4">
        <v>178.8132357163365</v>
      </c>
      <c r="T99" s="4">
        <v>-0.8132357163364929</v>
      </c>
      <c r="U99"/>
      <c r="V99"/>
      <c r="W99"/>
      <c r="X99"/>
      <c r="Y99"/>
      <c r="Z99"/>
    </row>
    <row r="100" spans="1:26" ht="12.75">
      <c r="A100" s="22">
        <v>1</v>
      </c>
      <c r="B100" s="22">
        <v>1</v>
      </c>
      <c r="C100" s="22">
        <v>2</v>
      </c>
      <c r="D100" s="22">
        <v>3000</v>
      </c>
      <c r="E100" s="22">
        <v>49</v>
      </c>
      <c r="F100" s="22">
        <v>6900</v>
      </c>
      <c r="G100" s="22">
        <v>71</v>
      </c>
      <c r="H100" s="22">
        <v>168</v>
      </c>
      <c r="I100" s="22">
        <v>172</v>
      </c>
      <c r="J100" s="22">
        <v>1</v>
      </c>
      <c r="K100" s="22">
        <v>23</v>
      </c>
      <c r="L100" s="22">
        <v>23</v>
      </c>
      <c r="M100" s="22">
        <v>1</v>
      </c>
      <c r="N100" s="22">
        <v>0</v>
      </c>
      <c r="O100" s="23" t="s">
        <v>197</v>
      </c>
      <c r="P100" s="23" t="s">
        <v>196</v>
      </c>
      <c r="R100" s="4">
        <v>74</v>
      </c>
      <c r="S100" s="4">
        <v>182.2355175688509</v>
      </c>
      <c r="T100" s="4">
        <v>-2.235517568850895</v>
      </c>
      <c r="U100"/>
      <c r="V100"/>
      <c r="W100"/>
      <c r="X100"/>
      <c r="Y100"/>
      <c r="Z100"/>
    </row>
    <row r="101" spans="18:26" ht="12.75">
      <c r="R101" s="4">
        <v>75</v>
      </c>
      <c r="S101" s="4">
        <v>177.21617085182976</v>
      </c>
      <c r="T101" s="4">
        <v>15.783829148170241</v>
      </c>
      <c r="U101"/>
      <c r="V101"/>
      <c r="W101"/>
      <c r="X101"/>
      <c r="Y101"/>
      <c r="Z101"/>
    </row>
    <row r="102" spans="18:26" ht="12.75">
      <c r="R102" s="4">
        <v>76</v>
      </c>
      <c r="S102" s="4">
        <v>181.09475695134608</v>
      </c>
      <c r="T102" s="4">
        <v>3.905243048653915</v>
      </c>
      <c r="U102"/>
      <c r="V102"/>
      <c r="W102"/>
      <c r="X102"/>
      <c r="Y102"/>
      <c r="Z102"/>
    </row>
    <row r="103" spans="18:26" ht="12.75">
      <c r="R103" s="4">
        <v>77</v>
      </c>
      <c r="S103" s="4">
        <v>176.9880187283288</v>
      </c>
      <c r="T103" s="4">
        <v>9.011981271671203</v>
      </c>
      <c r="U103"/>
      <c r="V103"/>
      <c r="W103"/>
      <c r="X103"/>
      <c r="Y103"/>
      <c r="Z103"/>
    </row>
    <row r="104" spans="18:26" ht="12.75">
      <c r="R104" s="4">
        <v>78</v>
      </c>
      <c r="S104" s="4">
        <v>179.9539963338413</v>
      </c>
      <c r="T104" s="4">
        <v>0.04600366615869689</v>
      </c>
      <c r="U104"/>
      <c r="V104"/>
      <c r="W104"/>
      <c r="X104"/>
      <c r="Y104"/>
      <c r="Z104"/>
    </row>
    <row r="105" spans="18:26" ht="12.75">
      <c r="R105" s="4">
        <v>79</v>
      </c>
      <c r="S105" s="4">
        <v>178.8132357163365</v>
      </c>
      <c r="T105" s="4">
        <v>-3.813235716336493</v>
      </c>
      <c r="U105"/>
      <c r="V105"/>
      <c r="W105"/>
      <c r="X105"/>
      <c r="Y105"/>
      <c r="Z105"/>
    </row>
    <row r="106" spans="18:26" ht="12.75">
      <c r="R106" s="4">
        <v>80</v>
      </c>
      <c r="S106" s="4">
        <v>177.67247509883168</v>
      </c>
      <c r="T106" s="4">
        <v>6.327524901168317</v>
      </c>
      <c r="U106"/>
      <c r="V106"/>
      <c r="W106"/>
      <c r="X106"/>
      <c r="Y106"/>
      <c r="Z106"/>
    </row>
    <row r="107" spans="18:26" ht="12.75">
      <c r="R107" s="4">
        <v>81</v>
      </c>
      <c r="S107" s="4">
        <v>179.9539963338413</v>
      </c>
      <c r="T107" s="4">
        <v>-4.953996333841303</v>
      </c>
      <c r="U107"/>
      <c r="V107"/>
      <c r="W107"/>
      <c r="X107"/>
      <c r="Y107"/>
      <c r="Z107"/>
    </row>
    <row r="108" spans="18:26" ht="12.75">
      <c r="R108" s="4">
        <v>82</v>
      </c>
      <c r="S108" s="4">
        <v>179.49769208683938</v>
      </c>
      <c r="T108" s="4">
        <v>2.502307913160621</v>
      </c>
      <c r="U108"/>
      <c r="V108"/>
      <c r="W108"/>
      <c r="X108"/>
      <c r="Y108"/>
      <c r="Z108"/>
    </row>
    <row r="109" spans="18:26" ht="12.75">
      <c r="R109" s="4">
        <v>83</v>
      </c>
      <c r="S109" s="4">
        <v>180.63845270434416</v>
      </c>
      <c r="T109" s="4">
        <v>3.361547295655839</v>
      </c>
      <c r="U109"/>
      <c r="V109"/>
      <c r="W109"/>
      <c r="X109"/>
      <c r="Y109"/>
      <c r="Z109"/>
    </row>
    <row r="110" spans="18:26" ht="12.75">
      <c r="R110" s="4">
        <v>84</v>
      </c>
      <c r="S110" s="4">
        <v>178.58508359283553</v>
      </c>
      <c r="T110" s="4">
        <v>-0.5850835928355309</v>
      </c>
      <c r="U110"/>
      <c r="V110"/>
      <c r="W110"/>
      <c r="X110"/>
      <c r="Y110"/>
      <c r="Z110"/>
    </row>
    <row r="111" spans="18:26" ht="12.75">
      <c r="R111" s="4">
        <v>85</v>
      </c>
      <c r="S111" s="4">
        <v>180.86660482784512</v>
      </c>
      <c r="T111" s="4">
        <v>4.133395172154877</v>
      </c>
      <c r="U111"/>
      <c r="V111"/>
      <c r="W111"/>
      <c r="X111"/>
      <c r="Y111"/>
      <c r="Z111"/>
    </row>
    <row r="112" spans="18:26" ht="12.75">
      <c r="R112" s="4">
        <v>86</v>
      </c>
      <c r="S112" s="4">
        <v>180.41030058084323</v>
      </c>
      <c r="T112" s="4">
        <v>-12.410300580843227</v>
      </c>
      <c r="U112"/>
      <c r="V112"/>
      <c r="W112"/>
      <c r="X112"/>
      <c r="Y112"/>
      <c r="Z112"/>
    </row>
    <row r="113" spans="18:26" ht="12.75">
      <c r="R113" s="4">
        <v>87</v>
      </c>
      <c r="S113" s="4">
        <v>177.21617085182976</v>
      </c>
      <c r="T113" s="4">
        <v>-2.2161708518297587</v>
      </c>
      <c r="U113"/>
      <c r="V113"/>
      <c r="W113"/>
      <c r="X113"/>
      <c r="Y113"/>
      <c r="Z113"/>
    </row>
    <row r="114" spans="18:26" ht="12.75">
      <c r="R114" s="4">
        <v>88</v>
      </c>
      <c r="S114" s="4">
        <v>179.9539963338413</v>
      </c>
      <c r="T114" s="4">
        <v>-9.953996333841303</v>
      </c>
      <c r="U114"/>
      <c r="V114"/>
      <c r="W114"/>
      <c r="X114"/>
      <c r="Y114"/>
      <c r="Z114"/>
    </row>
    <row r="115" spans="18:26" ht="12.75">
      <c r="R115" s="4">
        <v>89</v>
      </c>
      <c r="S115" s="4">
        <v>178.58508359283553</v>
      </c>
      <c r="T115" s="4">
        <v>-3.585083592835531</v>
      </c>
      <c r="U115"/>
      <c r="V115"/>
      <c r="W115"/>
      <c r="X115"/>
      <c r="Y115"/>
      <c r="Z115"/>
    </row>
    <row r="116" spans="18:26" ht="12.75">
      <c r="R116" s="4">
        <v>90</v>
      </c>
      <c r="S116" s="4">
        <v>178.35693146933457</v>
      </c>
      <c r="T116" s="4">
        <v>6.643068530665431</v>
      </c>
      <c r="U116"/>
      <c r="V116"/>
      <c r="W116"/>
      <c r="X116"/>
      <c r="Y116"/>
      <c r="Z116"/>
    </row>
    <row r="117" spans="18:26" ht="12.75">
      <c r="R117" s="4">
        <v>91</v>
      </c>
      <c r="S117" s="4">
        <v>180.18214845734224</v>
      </c>
      <c r="T117" s="4">
        <v>2.8178515426577633</v>
      </c>
      <c r="U117"/>
      <c r="V117"/>
      <c r="W117"/>
      <c r="X117"/>
      <c r="Y117"/>
      <c r="Z117"/>
    </row>
    <row r="118" spans="18:26" ht="12.75">
      <c r="R118" s="4">
        <v>92</v>
      </c>
      <c r="S118" s="4">
        <v>178.58508359283553</v>
      </c>
      <c r="T118" s="4">
        <v>-3.585083592835531</v>
      </c>
      <c r="U118"/>
      <c r="V118"/>
      <c r="W118"/>
      <c r="X118"/>
      <c r="Y118"/>
      <c r="Z118"/>
    </row>
    <row r="119" spans="18:26" ht="12.75">
      <c r="R119" s="4">
        <v>93</v>
      </c>
      <c r="S119" s="4">
        <v>178.8132357163365</v>
      </c>
      <c r="T119" s="4">
        <v>-1.813235716336493</v>
      </c>
      <c r="U119"/>
      <c r="V119"/>
      <c r="W119"/>
      <c r="X119"/>
      <c r="Y119"/>
      <c r="Z119"/>
    </row>
    <row r="120" spans="18:26" ht="12.75">
      <c r="R120" s="4">
        <v>94</v>
      </c>
      <c r="S120" s="4">
        <v>179.9539963338413</v>
      </c>
      <c r="T120" s="4">
        <v>5.046003666158697</v>
      </c>
      <c r="U120"/>
      <c r="V120"/>
      <c r="W120"/>
      <c r="X120"/>
      <c r="Y120"/>
      <c r="Z120"/>
    </row>
    <row r="121" spans="18:26" ht="12.75">
      <c r="R121" s="4">
        <v>95</v>
      </c>
      <c r="S121" s="4">
        <v>176.53171448132687</v>
      </c>
      <c r="T121" s="4">
        <v>-13.531714481326873</v>
      </c>
      <c r="U121"/>
      <c r="V121"/>
      <c r="W121"/>
      <c r="X121"/>
      <c r="Y121"/>
      <c r="Z121"/>
    </row>
    <row r="122" spans="18:26" ht="12.75">
      <c r="R122" s="4">
        <v>96</v>
      </c>
      <c r="S122" s="4">
        <v>178.58508359283553</v>
      </c>
      <c r="T122" s="4">
        <v>3.414916407164469</v>
      </c>
      <c r="U122"/>
      <c r="V122"/>
      <c r="W122"/>
      <c r="X122"/>
      <c r="Y122"/>
      <c r="Z122"/>
    </row>
    <row r="123" spans="18:26" ht="12.75">
      <c r="R123" s="4">
        <v>97</v>
      </c>
      <c r="S123" s="4">
        <v>181.09475695134608</v>
      </c>
      <c r="T123" s="4">
        <v>3.905243048653915</v>
      </c>
      <c r="U123"/>
      <c r="V123"/>
      <c r="W123"/>
      <c r="X123"/>
      <c r="Y123"/>
      <c r="Z123"/>
    </row>
    <row r="124" spans="18:26" ht="12.75">
      <c r="R124" s="4">
        <v>98</v>
      </c>
      <c r="S124" s="4">
        <v>180.86660482784512</v>
      </c>
      <c r="T124" s="4">
        <v>-0.8666048278451228</v>
      </c>
      <c r="U124"/>
      <c r="V124"/>
      <c r="W124"/>
      <c r="X124"/>
      <c r="Y124"/>
      <c r="Z124"/>
    </row>
    <row r="125" spans="18:26" ht="13.5" thickBot="1">
      <c r="R125" s="5">
        <v>99</v>
      </c>
      <c r="S125" s="5">
        <v>179.49769208683938</v>
      </c>
      <c r="T125" s="5">
        <v>-7.497692086839379</v>
      </c>
      <c r="U125"/>
      <c r="V125"/>
      <c r="W125"/>
      <c r="X125"/>
      <c r="Y125"/>
      <c r="Z125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9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17.00390625" style="0" customWidth="1"/>
    <col min="2" max="4" width="9.7109375" style="0" bestFit="1" customWidth="1"/>
    <col min="5" max="5" width="13.7109375" style="0" bestFit="1" customWidth="1"/>
  </cols>
  <sheetData>
    <row r="3" spans="1:5" ht="12.75">
      <c r="A3" s="30" t="s">
        <v>205</v>
      </c>
      <c r="B3" s="30" t="s">
        <v>180</v>
      </c>
      <c r="C3" s="28"/>
      <c r="D3" s="28"/>
      <c r="E3" s="29"/>
    </row>
    <row r="4" spans="1:5" ht="12.75">
      <c r="A4" s="30" t="s">
        <v>191</v>
      </c>
      <c r="B4" s="31">
        <v>1</v>
      </c>
      <c r="C4" s="40">
        <v>2</v>
      </c>
      <c r="D4" s="40">
        <v>3</v>
      </c>
      <c r="E4" s="41" t="s">
        <v>202</v>
      </c>
    </row>
    <row r="5" spans="1:5" ht="12.75">
      <c r="A5" s="31">
        <v>0</v>
      </c>
      <c r="B5" s="34">
        <v>20</v>
      </c>
      <c r="C5" s="42">
        <v>16</v>
      </c>
      <c r="D5" s="42">
        <v>5</v>
      </c>
      <c r="E5" s="35">
        <v>41</v>
      </c>
    </row>
    <row r="6" spans="1:5" ht="12.75">
      <c r="A6" s="32">
        <v>1</v>
      </c>
      <c r="B6" s="36">
        <v>14</v>
      </c>
      <c r="C6" s="43">
        <v>31</v>
      </c>
      <c r="D6" s="43">
        <v>13</v>
      </c>
      <c r="E6" s="37">
        <v>58</v>
      </c>
    </row>
    <row r="7" spans="1:5" ht="12.75">
      <c r="A7" s="33" t="s">
        <v>202</v>
      </c>
      <c r="B7" s="38">
        <v>34</v>
      </c>
      <c r="C7" s="44">
        <v>47</v>
      </c>
      <c r="D7" s="44">
        <v>18</v>
      </c>
      <c r="E7" s="39">
        <v>99</v>
      </c>
    </row>
    <row r="9" spans="1:5" ht="12.75">
      <c r="A9" t="s">
        <v>203</v>
      </c>
      <c r="B9">
        <f aca="true" t="shared" si="0" ref="B9:D10">$E5*B$7/$E$7</f>
        <v>14.080808080808081</v>
      </c>
      <c r="C9">
        <f t="shared" si="0"/>
        <v>19.464646464646464</v>
      </c>
      <c r="D9">
        <f t="shared" si="0"/>
        <v>7.454545454545454</v>
      </c>
      <c r="E9">
        <f>SUM(B9:D9)</f>
        <v>41</v>
      </c>
    </row>
    <row r="10" spans="2:5" ht="12.75">
      <c r="B10">
        <f t="shared" si="0"/>
        <v>19.91919191919192</v>
      </c>
      <c r="C10">
        <f t="shared" si="0"/>
        <v>27.535353535353536</v>
      </c>
      <c r="D10">
        <f t="shared" si="0"/>
        <v>10.545454545454545</v>
      </c>
      <c r="E10">
        <f>SUM(B10:D10)</f>
        <v>58</v>
      </c>
    </row>
    <row r="11" spans="2:5" ht="12.75">
      <c r="B11">
        <f>SUM(B9:B10)</f>
        <v>34</v>
      </c>
      <c r="C11">
        <f>SUM(C9:C10)</f>
        <v>47</v>
      </c>
      <c r="D11">
        <f>SUM(D9:D10)</f>
        <v>18</v>
      </c>
      <c r="E11">
        <f>SUM(B11:D11)</f>
        <v>99</v>
      </c>
    </row>
    <row r="13" spans="1:4" ht="12.75">
      <c r="A13" t="s">
        <v>206</v>
      </c>
      <c r="B13" s="34">
        <v>20</v>
      </c>
      <c r="C13" s="42">
        <v>16</v>
      </c>
      <c r="D13" s="42">
        <v>5</v>
      </c>
    </row>
    <row r="14" spans="2:4" ht="12.75">
      <c r="B14" s="36">
        <v>14</v>
      </c>
      <c r="C14" s="43">
        <v>31</v>
      </c>
      <c r="D14" s="43">
        <v>13</v>
      </c>
    </row>
    <row r="16" spans="1:5" ht="12.75">
      <c r="A16" t="s">
        <v>221</v>
      </c>
      <c r="B16">
        <f aca="true" t="shared" si="1" ref="B16:D17">(B13-B9)^2/B9</f>
        <v>2.4882686260017675</v>
      </c>
      <c r="C16">
        <f t="shared" si="1"/>
        <v>0.6166962830169884</v>
      </c>
      <c r="D16">
        <f t="shared" si="1"/>
        <v>0.8082039911308202</v>
      </c>
      <c r="E16">
        <f>SUM(B16:D16)</f>
        <v>3.9131689001495764</v>
      </c>
    </row>
    <row r="17" spans="2:5" ht="12.75">
      <c r="B17">
        <f t="shared" si="1"/>
        <v>1.758948511484009</v>
      </c>
      <c r="C17">
        <f t="shared" si="1"/>
        <v>0.43594047592580215</v>
      </c>
      <c r="D17">
        <f t="shared" si="1"/>
        <v>0.571316614420063</v>
      </c>
      <c r="E17">
        <f>SUM(B17:D17)</f>
        <v>2.766205601829874</v>
      </c>
    </row>
    <row r="18" spans="1:5" ht="12.75">
      <c r="A18" t="s">
        <v>204</v>
      </c>
      <c r="E18" s="9">
        <f>SUM(E16:E17)</f>
        <v>6.679374501979451</v>
      </c>
    </row>
    <row r="19" spans="1:5" ht="12.75">
      <c r="A19" s="12" t="s">
        <v>207</v>
      </c>
      <c r="E19" s="9">
        <f>CHIDIST(E18,2)</f>
        <v>0.035448042329791485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22" sqref="G22"/>
    </sheetView>
  </sheetViews>
  <sheetFormatPr defaultColWidth="9.140625" defaultRowHeight="12.75"/>
  <cols>
    <col min="1" max="1" width="18.421875" style="0" customWidth="1"/>
    <col min="2" max="2" width="8.140625" style="0" customWidth="1"/>
    <col min="6" max="6" width="11.8515625" style="0" customWidth="1"/>
  </cols>
  <sheetData>
    <row r="1" spans="1:6" ht="12.75">
      <c r="A1" s="9" t="s">
        <v>208</v>
      </c>
      <c r="C1" s="19" t="s">
        <v>220</v>
      </c>
      <c r="F1" t="s">
        <v>218</v>
      </c>
    </row>
    <row r="2" ht="12.75">
      <c r="A2" t="s">
        <v>213</v>
      </c>
    </row>
    <row r="3" spans="2:7" ht="12.75">
      <c r="B3" t="s">
        <v>211</v>
      </c>
      <c r="C3" t="s">
        <v>212</v>
      </c>
      <c r="F3" t="s">
        <v>219</v>
      </c>
      <c r="G3" s="9">
        <f>D6*(B4*C5-B5*C4)^2/(B6*C6*D4*D5)</f>
        <v>8.045023341821219</v>
      </c>
    </row>
    <row r="4" spans="1:7" ht="12.75">
      <c r="A4" t="s">
        <v>209</v>
      </c>
      <c r="B4" s="19">
        <v>1097</v>
      </c>
      <c r="C4" s="19">
        <v>362</v>
      </c>
      <c r="D4">
        <f>SUM(B4:C4)</f>
        <v>1459</v>
      </c>
      <c r="F4" s="12" t="s">
        <v>2</v>
      </c>
      <c r="G4" s="9">
        <f>CHIDIST(G3,1)</f>
        <v>0.004562883317968544</v>
      </c>
    </row>
    <row r="5" spans="1:4" ht="12.75">
      <c r="A5" t="s">
        <v>210</v>
      </c>
      <c r="B5" s="19">
        <v>1365</v>
      </c>
      <c r="C5" s="19">
        <v>354</v>
      </c>
      <c r="D5">
        <f>SUM(B5:C5)</f>
        <v>1719</v>
      </c>
    </row>
    <row r="6" spans="2:4" ht="12.75">
      <c r="B6">
        <f>SUM(B4:B5)</f>
        <v>2462</v>
      </c>
      <c r="C6">
        <f>SUM(C4:C5)</f>
        <v>716</v>
      </c>
      <c r="D6">
        <f>SUM(B6:C6)</f>
        <v>3178</v>
      </c>
    </row>
    <row r="8" ht="12.75">
      <c r="A8" t="s">
        <v>214</v>
      </c>
    </row>
    <row r="9" spans="2:4" ht="12.75">
      <c r="B9">
        <f>$D4*B$6/$D$6</f>
        <v>1130.288860918817</v>
      </c>
      <c r="C9">
        <f>$D4*C$6/$D$6</f>
        <v>328.71113908118315</v>
      </c>
      <c r="D9">
        <f>SUM(B9:C9)</f>
        <v>1459</v>
      </c>
    </row>
    <row r="10" spans="2:4" ht="12.75">
      <c r="B10">
        <f>$D5*B$6/$D$6</f>
        <v>1331.711139081183</v>
      </c>
      <c r="C10">
        <f>$D5*C$6/$D$6</f>
        <v>387.28886091881685</v>
      </c>
      <c r="D10">
        <f>SUM(B10:C10)</f>
        <v>1719</v>
      </c>
    </row>
    <row r="11" spans="2:4" ht="12.75">
      <c r="B11">
        <f>SUM(B9:B10)</f>
        <v>2462</v>
      </c>
      <c r="C11">
        <f>SUM(C9:C10)</f>
        <v>716</v>
      </c>
      <c r="D11">
        <f>SUM(D9:D10)</f>
        <v>3178</v>
      </c>
    </row>
    <row r="13" ht="12.75">
      <c r="A13" t="s">
        <v>215</v>
      </c>
    </row>
    <row r="14" spans="2:4" ht="12.75">
      <c r="B14">
        <f>(B4-B9)^2/B9</f>
        <v>0.9804115563622533</v>
      </c>
      <c r="C14">
        <f>(C4-C9)^2/C9</f>
        <v>3.3711916924076246</v>
      </c>
      <c r="D14">
        <f>SUM(B14:C14)</f>
        <v>4.351603248769878</v>
      </c>
    </row>
    <row r="15" spans="2:4" ht="12.75">
      <c r="B15">
        <f>(B5-B10)^2/B10</f>
        <v>0.8321235955395739</v>
      </c>
      <c r="C15">
        <f>(C5-C10)^2/C10</f>
        <v>2.8612964975117654</v>
      </c>
      <c r="D15">
        <f>SUM(B15:C15)</f>
        <v>3.6934200930513392</v>
      </c>
    </row>
    <row r="16" spans="2:5" ht="12.75">
      <c r="B16">
        <f>SUM(B14:B15)</f>
        <v>1.8125351519018271</v>
      </c>
      <c r="C16">
        <f>SUM(C14:C15)</f>
        <v>6.2324881899193905</v>
      </c>
      <c r="D16" s="9">
        <f>SUM(B16:C16)</f>
        <v>8.045023341821217</v>
      </c>
      <c r="E16" s="45" t="s">
        <v>216</v>
      </c>
    </row>
    <row r="17" spans="4:5" ht="12.75">
      <c r="D17" s="9">
        <f>CHIDIST(D16,1)</f>
        <v>0.004562883317968547</v>
      </c>
      <c r="E17" s="45" t="s">
        <v>217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Zvara</dc:creator>
  <cp:keywords/>
  <dc:description/>
  <cp:lastModifiedBy>zvara</cp:lastModifiedBy>
  <dcterms:created xsi:type="dcterms:W3CDTF">2005-11-07T09:34:52Z</dcterms:created>
  <dcterms:modified xsi:type="dcterms:W3CDTF">2006-01-06T13:31:26Z</dcterms:modified>
  <cp:category/>
  <cp:version/>
  <cp:contentType/>
  <cp:contentStatus/>
</cp:coreProperties>
</file>